
<file path=[Content_Types].xml><?xml version="1.0" encoding="utf-8"?>
<Types xmlns="http://schemas.openxmlformats.org/package/2006/content-types">
  <Default Extension="bin" ContentType="application/vnd.openxmlformats-officedocument.spreadsheetml.printerSettings"/>
  <Default Extension="wmf" ContentType="image/x-wmf"/>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drawings/drawing5.xml" ContentType="application/vnd.openxmlformats-officedocument.drawing+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465" windowWidth="20505" windowHeight="7755" tabRatio="870"/>
  </bookViews>
  <sheets>
    <sheet name="1. Introduction" sheetId="43" r:id="rId1"/>
    <sheet name="2. State indicators" sheetId="2" r:id="rId2"/>
    <sheet name="3. Fossil res" sheetId="20" r:id="rId3"/>
    <sheet name="4. Al" sheetId="16" r:id="rId4"/>
    <sheet name="5. Fe" sheetId="17" r:id="rId5"/>
    <sheet name="6. Other elements" sheetId="14" r:id="rId6"/>
    <sheet name="7. Em to water" sheetId="34" r:id="rId7"/>
    <sheet name="8. Inorganic gases" sheetId="35" r:id="rId8"/>
    <sheet name="9. Particles" sheetId="29" r:id="rId9"/>
    <sheet name="11. Halo. org." sheetId="10" r:id="rId10"/>
    <sheet name="10. VOC" sheetId="8" r:id="rId11"/>
    <sheet name="12. Pesticides" sheetId="9" r:id="rId12"/>
    <sheet name="13. Noise" sheetId="30" r:id="rId13"/>
    <sheet name="14. Radionuclids" sheetId="32" r:id="rId14"/>
    <sheet name="15. Land use" sheetId="12" r:id="rId15"/>
    <sheet name="16. waste" sheetId="31" r:id="rId16"/>
  </sheets>
  <definedNames>
    <definedName name="_xlnm._FilterDatabase" localSheetId="10" hidden="1">'10. VOC'!$A$1:$AN$145</definedName>
    <definedName name="_xlnm._FilterDatabase" localSheetId="9" hidden="1">'11. Halo. org.'!$A$1:$Y$287</definedName>
    <definedName name="_xlnm._FilterDatabase" localSheetId="11" hidden="1">'12. Pesticides'!$A$1:$O$304</definedName>
    <definedName name="_xlnm._FilterDatabase" localSheetId="7" hidden="1">'8. Inorganic gases'!$A$43:$R$70</definedName>
    <definedName name="Ag_orevalue">'6. Other elements'!$D$2</definedName>
    <definedName name="Al_orevalue">'4. Al'!$F$44</definedName>
    <definedName name="anginavalue">'2. State indicators'!$E$92</definedName>
    <definedName name="Ar_value">'6. Other elements'!$D$77</definedName>
    <definedName name="As_orevalue">'6. Other elements'!$D$3</definedName>
    <definedName name="asthmacasesvalue">'2. State indicators'!$E$96</definedName>
    <definedName name="Au_orevalue">'6. Other elements'!$D$4</definedName>
    <definedName name="averagepesticidepotency">'12. Pesticides'!$E$304</definedName>
    <definedName name="B_orevalue">'6. Other elements'!$D$67</definedName>
    <definedName name="Ba_orevalue">'6. Other elements'!$D$5</definedName>
    <definedName name="Be_orevalue">'6. Other elements'!$D$6</definedName>
    <definedName name="Bi_orevalue">'6. Other elements'!$D$7</definedName>
    <definedName name="Br_orevalue">'6. Other elements'!$D$68</definedName>
    <definedName name="cancervalue">'2. State indicators'!$E$98</definedName>
    <definedName name="Cd_orevalue">'6. Other elements'!$D$9</definedName>
    <definedName name="Ce_orevalue">'6. Other elements'!$D$10</definedName>
    <definedName name="charco2crop">'8. Inorganic gases'!$J$14</definedName>
    <definedName name="charco2nex">'8. Inorganic gases'!$I$23</definedName>
    <definedName name="charco2woodgw">'8. Inorganic gases'!$I$17</definedName>
    <definedName name="charco2yoll">'8. Inorganic gases'!$J$8</definedName>
    <definedName name="charnoxcrop">'8. Inorganic gases'!$I$53</definedName>
    <definedName name="charpm10yoll">'9. Particles'!$J$9</definedName>
    <definedName name="charso2yoll">'8. Inorganic gases'!$J$94</definedName>
    <definedName name="charso2yollsecondaryparticles">'8. Inorganic gases'!$I$93</definedName>
    <definedName name="Cl_orevalue">'6. Other elements'!$D$75</definedName>
    <definedName name="Co_orevalue">'6. Other elements'!$D$11</definedName>
    <definedName name="CO_value">'8. Inorganic gases'!$L$42</definedName>
    <definedName name="CO2_crop_charfact">'8. Inorganic gases'!$J$14</definedName>
    <definedName name="CO2_diarrhea_charfact">'8. Inorganic gases'!$I$11</definedName>
    <definedName name="CO2_drinkingwater_charfact">'8. Inorganic gases'!$I$18</definedName>
    <definedName name="CO2_energyaccess_charfact">'8. Inorganic gases'!$I$20</definedName>
    <definedName name="CO2_fruitandveg_charfact">'8. Inorganic gases'!$I$15</definedName>
    <definedName name="CO2_housing_charfact">'8. Inorganic gases'!$I$21</definedName>
    <definedName name="CO2_irrigationwater_charfact">'8. Inorganic gases'!$I$19</definedName>
    <definedName name="CO2_malnutrition_charfact">'8. Inorganic gases'!$I$9</definedName>
    <definedName name="CO2_meatandfish_charfact">'8. Inorganic gases'!$I$16</definedName>
    <definedName name="CO2_NEX_charfact">'8. Inorganic gases'!$I$23</definedName>
    <definedName name="CO2_separations_charfact">'8. Inorganic gases'!$I$22</definedName>
    <definedName name="CO2_workingcapacity_charfact">'8. Inorganic gases'!$I$10</definedName>
    <definedName name="CO2value">'8. Inorganic gases'!$L$24</definedName>
    <definedName name="coalvalue">'3. Fossil res'!$G$44</definedName>
    <definedName name="COPDvalue">'2. State indicators'!$E$97</definedName>
    <definedName name="Cr_orevalue">'6. Other elements'!$D$12</definedName>
    <definedName name="cropvalue">'2. State indicators'!$E$3</definedName>
    <definedName name="Cs_orevalue">'6. Other elements'!$D$13</definedName>
    <definedName name="Cu_orevalue">'6. Other elements'!$D$14</definedName>
    <definedName name="diarrhea">'2. State indicators'!$E$89</definedName>
    <definedName name="drinkingwatervalue">'2. State indicators'!$E$8</definedName>
    <definedName name="Dy_orevalue">'6. Other elements'!$D$15</definedName>
    <definedName name="energy_access">'2. State indicators'!$E$108</definedName>
    <definedName name="Er_orevalue">'6. Other elements'!$D$16</definedName>
    <definedName name="Eu_orevalue">'6. Other elements'!$D$17</definedName>
    <definedName name="F_orevalue">'6. Other elements'!$D$18</definedName>
    <definedName name="Fe_orevalue">'5. Fe'!$G$30</definedName>
    <definedName name="fishandmeatvalue">'2. State indicators'!$E$6</definedName>
    <definedName name="Fruitandveg_value">'2. State indicators'!$E$4</definedName>
    <definedName name="Ga_orevalue">'6. Other elements'!$D$19</definedName>
    <definedName name="Gd_orevalue">'6. Other elements'!$D$20</definedName>
    <definedName name="Ge_orevalue">'6. Other elements'!$D$21</definedName>
    <definedName name="goodstransportvalue">'2. State indicators'!$E$119</definedName>
    <definedName name="H_value">'6. Other elements'!$D$69</definedName>
    <definedName name="He_value">'6. Other elements'!$D$78</definedName>
    <definedName name="Hf_orevalue">'6. Other elements'!$D$22</definedName>
    <definedName name="HFC134avalue">'11. Halo. org.'!$Y$74</definedName>
    <definedName name="Hg_orevalue">'6. Other elements'!$D$23</definedName>
    <definedName name="Ho_orevalue">'6. Other elements'!$D$24</definedName>
    <definedName name="housingvalue">'2. State indicators'!$E$106</definedName>
    <definedName name="I_orevalue">'6. Other elements'!$D$74</definedName>
    <definedName name="In_orevalue">'6. Other elements'!$D$25</definedName>
    <definedName name="Industryuseofforestlandvalue">'15. Land use'!$M$18</definedName>
    <definedName name="Intellectualdisabilityvalue">'2. State indicators'!$E$102</definedName>
    <definedName name="Ir_orevalue">'6. Other elements'!$D$26</definedName>
    <definedName name="irrigationwatervalue">'2. State indicators'!$E$9</definedName>
    <definedName name="K_orevalue">'6. Other elements'!$D$71</definedName>
    <definedName name="La_orevalue">'6. Other elements'!$D$27</definedName>
    <definedName name="Li_orevalue">'6. Other elements'!$D$66</definedName>
    <definedName name="lignitevalue">'3. Fossil res'!$E$47</definedName>
    <definedName name="Lowvisionvalue">'2. State indicators'!$E$100</definedName>
    <definedName name="Lu_orevalue">'6. Other elements'!$D$29</definedName>
    <definedName name="malaria_episodes">'2. State indicators'!$E$90</definedName>
    <definedName name="malnutrition">'2. State indicators'!$E$88</definedName>
    <definedName name="methanevalue">'10. VOC'!$AB$3</definedName>
    <definedName name="Mg_orevalue">'6. Other elements'!$D$72</definedName>
    <definedName name="migrationvalue">'2. State indicators'!$E$91</definedName>
    <definedName name="Mn_orevalue">'6. Other elements'!$D$30</definedName>
    <definedName name="Mo_orevalue">'6. Other elements'!$D$31</definedName>
    <definedName name="N_value">'6. Other elements'!$D$80</definedName>
    <definedName name="Na_orevalue">'6. Other elements'!$D$70</definedName>
    <definedName name="naturalgasvalue">'3. Fossil res'!$E$60</definedName>
    <definedName name="Nb_orevalue">'6. Other elements'!$D$32</definedName>
    <definedName name="Nd_orevalue">'6. Other elements'!$D$33</definedName>
    <definedName name="Ne_value">'6. Other elements'!$D$79</definedName>
    <definedName name="Ni_orevalue">'6. Other elements'!$D$34</definedName>
    <definedName name="NMVOCvalue">'10. VOC'!$AB$147</definedName>
    <definedName name="NOx_crop_oxidantcharfact">'8. Inorganic gases'!$I$53</definedName>
    <definedName name="NOx_wood_oxidantcharfact">'8. Inorganic gases'!$I$60</definedName>
    <definedName name="NOx_YOLL_Oxidant_charfact">'8. Inorganic gases'!$I$46</definedName>
    <definedName name="NOxvalue">'8. Inorganic gases'!$L$70</definedName>
    <definedName name="O_value">'6. Other elements'!$D$81</definedName>
    <definedName name="oilvalue">'3. Fossil res'!$E$15</definedName>
    <definedName name="Os_orevalue">'6. Other elements'!$D$35</definedName>
    <definedName name="osteoporosisvalue">'2. State indicators'!$E$103</definedName>
    <definedName name="P_orevalue">'6. Other elements'!$D$36</definedName>
    <definedName name="Pb_orevalue">'6. Other elements'!$D$37</definedName>
    <definedName name="Pd_orevalue">'6. Other elements'!$D$38</definedName>
    <definedName name="persontransportvalue">'2. State indicators'!$E$121</definedName>
    <definedName name="PM2.5_asthmacases_charfact">'9. Particles'!$I$32</definedName>
    <definedName name="PM2.5_COPD_charfact">'9. Particles'!$I$33</definedName>
    <definedName name="PM2.5_malnutrition_charfact">'9. Particles'!$I$34</definedName>
    <definedName name="PM2.5_workingcapacity_charfact">'9. Particles'!$I$35</definedName>
    <definedName name="PM2.5_YOLL_charfact">'9. Particles'!$J$31</definedName>
    <definedName name="poisoningvalue">'2. State indicators'!$E$101</definedName>
    <definedName name="Pr_orevalue">'6. Other elements'!$D$39</definedName>
    <definedName name="Pt_orevalue">'6. Other elements'!$D$40</definedName>
    <definedName name="qualitytimevalue">'2. State indicators'!$E$7</definedName>
    <definedName name="Rb_orevalue">'6. Other elements'!$D$41</definedName>
    <definedName name="Re_orevalue">'6. Other elements'!$D$42</definedName>
    <definedName name="renaldysfunctionvalue">'2. State indicators'!$E$104</definedName>
    <definedName name="Rh_orevalue">'6. Other elements'!$D$43</definedName>
    <definedName name="Ru_orevalue">'6. Other elements'!$D$44</definedName>
    <definedName name="S_orevalue">'6. Other elements'!$D$73</definedName>
    <definedName name="Sb_orevalue">'6. Other elements'!$D$45</definedName>
    <definedName name="Sc_orevalue">'6. Other elements'!$D$46</definedName>
    <definedName name="Se_orevalue">'6. Other elements'!$D$47</definedName>
    <definedName name="skincancervalue">'2. State indicators'!$E$99</definedName>
    <definedName name="Sm_orevalue">'6. Other elements'!$D$48</definedName>
    <definedName name="Sn_orevalue">'6. Other elements'!$D$49</definedName>
    <definedName name="SO2value">'8. Inorganic gases'!$L$113</definedName>
    <definedName name="speciesvalue">'2. State indicators'!$E$85</definedName>
    <definedName name="Sr_orevalue">'6. Other elements'!$D$50</definedName>
    <definedName name="Ta_orevalue">'6. Other elements'!$D$51</definedName>
    <definedName name="Tb_orevalue">'6. Other elements'!$D$52</definedName>
    <definedName name="Te_orevalue">'6. Other elements'!$D$53</definedName>
    <definedName name="Th_orevalue">'6. Other elements'!$D$54</definedName>
    <definedName name="Ti_orevalue">'6. Other elements'!$D$55</definedName>
    <definedName name="Tl_orevalue">'6. Other elements'!$D$56</definedName>
    <definedName name="Tm_orevalue">'6. Other elements'!$D$57</definedName>
    <definedName name="U_orevalue">'6. Other elements'!$D$58</definedName>
    <definedName name="V_orevalue">'6. Other elements'!$D$60</definedName>
    <definedName name="W_orevalue">'6. Other elements'!$D$59</definedName>
    <definedName name="waterdeliveryvalue">'2. State indicators'!$E$111</definedName>
    <definedName name="woodvalue">'2. State indicators'!$E$5</definedName>
    <definedName name="working_capacity">'2. State indicators'!$E$95</definedName>
    <definedName name="Y_orevalue">'6. Other elements'!$D$61</definedName>
    <definedName name="Yb_orevalue">'6. Other elements'!$D$62</definedName>
    <definedName name="YOLLvalue">'2. State indicators'!$E$87</definedName>
    <definedName name="Zn_orevalue">'6. Other elements'!$D$63</definedName>
    <definedName name="Zr_orevalue">'6. Other elements'!$D$64</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E7" i="32" l="1"/>
  <c r="F29" i="35"/>
  <c r="F27" i="35"/>
  <c r="D18" i="14"/>
  <c r="J8" i="31"/>
  <c r="F7" i="31"/>
  <c r="J7" i="31"/>
  <c r="K34" i="12"/>
  <c r="M34" i="12"/>
  <c r="M32" i="12"/>
  <c r="K32" i="12"/>
  <c r="K31" i="12"/>
  <c r="M31" i="12"/>
  <c r="K29" i="12"/>
  <c r="M29" i="12"/>
  <c r="K28" i="12"/>
  <c r="M28" i="12"/>
  <c r="K27" i="12"/>
  <c r="M27" i="12"/>
  <c r="K25" i="12"/>
  <c r="M25" i="12"/>
  <c r="K24" i="12"/>
  <c r="M24" i="12"/>
  <c r="K23" i="12"/>
  <c r="M23" i="12"/>
  <c r="K22" i="12"/>
  <c r="M22" i="12"/>
  <c r="K20" i="12"/>
  <c r="M20" i="12"/>
  <c r="K19" i="12"/>
  <c r="C19" i="12"/>
  <c r="K18" i="12"/>
  <c r="C18" i="12"/>
  <c r="M18" i="12"/>
  <c r="B15" i="17"/>
  <c r="E15" i="17"/>
  <c r="F15" i="17"/>
  <c r="K17" i="12"/>
  <c r="E17" i="12"/>
  <c r="C17" i="12"/>
  <c r="K16" i="12"/>
  <c r="C16" i="12"/>
  <c r="K15" i="12"/>
  <c r="C15" i="12"/>
  <c r="K14" i="12"/>
  <c r="E14" i="12"/>
  <c r="C14" i="12"/>
  <c r="K12" i="12"/>
  <c r="M12" i="12"/>
  <c r="K11" i="12"/>
  <c r="C11" i="12"/>
  <c r="K10" i="12"/>
  <c r="C10" i="12"/>
  <c r="K9" i="12"/>
  <c r="E9" i="12"/>
  <c r="C9" i="12"/>
  <c r="K8" i="12"/>
  <c r="C8" i="12"/>
  <c r="M8" i="12"/>
  <c r="K7" i="12"/>
  <c r="C7" i="12"/>
  <c r="K6" i="12"/>
  <c r="E6" i="12"/>
  <c r="C6" i="12"/>
  <c r="F14" i="32"/>
  <c r="E14" i="32"/>
  <c r="F13" i="32"/>
  <c r="E13" i="32"/>
  <c r="F12" i="32"/>
  <c r="E12" i="32"/>
  <c r="F11" i="32"/>
  <c r="E11" i="32"/>
  <c r="F10" i="32"/>
  <c r="E10" i="32"/>
  <c r="F9" i="32"/>
  <c r="E9" i="32"/>
  <c r="F8" i="32"/>
  <c r="E8" i="32"/>
  <c r="F7" i="32"/>
  <c r="F6" i="32"/>
  <c r="E6" i="32"/>
  <c r="F5" i="32"/>
  <c r="E5" i="32"/>
  <c r="F4" i="32"/>
  <c r="E4" i="32"/>
  <c r="J4" i="30"/>
  <c r="I4" i="30"/>
  <c r="G4" i="30"/>
  <c r="E4" i="30"/>
  <c r="E303" i="9"/>
  <c r="E302" i="9"/>
  <c r="E301" i="9"/>
  <c r="E300" i="9"/>
  <c r="E299" i="9"/>
  <c r="E298" i="9"/>
  <c r="E297" i="9"/>
  <c r="E296" i="9"/>
  <c r="E295" i="9"/>
  <c r="E294" i="9"/>
  <c r="E293" i="9"/>
  <c r="E292" i="9"/>
  <c r="E291" i="9"/>
  <c r="E290" i="9"/>
  <c r="E289" i="9"/>
  <c r="E288" i="9"/>
  <c r="E287" i="9"/>
  <c r="E286" i="9"/>
  <c r="E285" i="9"/>
  <c r="E284" i="9"/>
  <c r="E283" i="9"/>
  <c r="E282" i="9"/>
  <c r="E281" i="9"/>
  <c r="E280" i="9"/>
  <c r="E279" i="9"/>
  <c r="E278" i="9"/>
  <c r="E277" i="9"/>
  <c r="E276" i="9"/>
  <c r="E275" i="9"/>
  <c r="E274" i="9"/>
  <c r="E273" i="9"/>
  <c r="E272" i="9"/>
  <c r="E271" i="9"/>
  <c r="E270" i="9"/>
  <c r="E269" i="9"/>
  <c r="E268" i="9"/>
  <c r="E267" i="9"/>
  <c r="E266" i="9"/>
  <c r="E265" i="9"/>
  <c r="E264" i="9"/>
  <c r="E263" i="9"/>
  <c r="E262" i="9"/>
  <c r="E261" i="9"/>
  <c r="E260" i="9"/>
  <c r="E259" i="9"/>
  <c r="E258" i="9"/>
  <c r="E257" i="9"/>
  <c r="E256" i="9"/>
  <c r="E255" i="9"/>
  <c r="E254" i="9"/>
  <c r="E253" i="9"/>
  <c r="E252" i="9"/>
  <c r="E251" i="9"/>
  <c r="E250" i="9"/>
  <c r="E249" i="9"/>
  <c r="E248" i="9"/>
  <c r="E247" i="9"/>
  <c r="E246" i="9"/>
  <c r="E245" i="9"/>
  <c r="E244" i="9"/>
  <c r="E243" i="9"/>
  <c r="E242" i="9"/>
  <c r="E241" i="9"/>
  <c r="E240" i="9"/>
  <c r="E239" i="9"/>
  <c r="E238" i="9"/>
  <c r="E237" i="9"/>
  <c r="E236" i="9"/>
  <c r="E235" i="9"/>
  <c r="E234" i="9"/>
  <c r="E233" i="9"/>
  <c r="E232" i="9"/>
  <c r="E231" i="9"/>
  <c r="E230" i="9"/>
  <c r="E229" i="9"/>
  <c r="E228" i="9"/>
  <c r="E227" i="9"/>
  <c r="E226" i="9"/>
  <c r="E225" i="9"/>
  <c r="E224" i="9"/>
  <c r="E223" i="9"/>
  <c r="E222" i="9"/>
  <c r="E221" i="9"/>
  <c r="E220" i="9"/>
  <c r="E219" i="9"/>
  <c r="E218" i="9"/>
  <c r="E217" i="9"/>
  <c r="E216" i="9"/>
  <c r="E215" i="9"/>
  <c r="E214" i="9"/>
  <c r="E213" i="9"/>
  <c r="E212" i="9"/>
  <c r="E211" i="9"/>
  <c r="E210" i="9"/>
  <c r="E209" i="9"/>
  <c r="E208" i="9"/>
  <c r="E207" i="9"/>
  <c r="E206" i="9"/>
  <c r="E205" i="9"/>
  <c r="E204" i="9"/>
  <c r="E203" i="9"/>
  <c r="E202" i="9"/>
  <c r="E201" i="9"/>
  <c r="E200" i="9"/>
  <c r="E199" i="9"/>
  <c r="E198" i="9"/>
  <c r="E197" i="9"/>
  <c r="E196" i="9"/>
  <c r="E195" i="9"/>
  <c r="E194" i="9"/>
  <c r="E193" i="9"/>
  <c r="E192" i="9"/>
  <c r="E191" i="9"/>
  <c r="E190" i="9"/>
  <c r="E189" i="9"/>
  <c r="E188" i="9"/>
  <c r="E187" i="9"/>
  <c r="E186" i="9"/>
  <c r="E185" i="9"/>
  <c r="E184" i="9"/>
  <c r="E183" i="9"/>
  <c r="E182" i="9"/>
  <c r="E181" i="9"/>
  <c r="E180" i="9"/>
  <c r="E179" i="9"/>
  <c r="E178" i="9"/>
  <c r="E177" i="9"/>
  <c r="E176" i="9"/>
  <c r="E175" i="9"/>
  <c r="E174" i="9"/>
  <c r="E173" i="9"/>
  <c r="E172" i="9"/>
  <c r="E171" i="9"/>
  <c r="E170" i="9"/>
  <c r="E169" i="9"/>
  <c r="E168" i="9"/>
  <c r="E167" i="9"/>
  <c r="E166" i="9"/>
  <c r="E165" i="9"/>
  <c r="E164" i="9"/>
  <c r="E163" i="9"/>
  <c r="E162" i="9"/>
  <c r="E161" i="9"/>
  <c r="E160" i="9"/>
  <c r="E159" i="9"/>
  <c r="E158" i="9"/>
  <c r="E157" i="9"/>
  <c r="E156" i="9"/>
  <c r="E155" i="9"/>
  <c r="E154" i="9"/>
  <c r="E153" i="9"/>
  <c r="E152" i="9"/>
  <c r="E151" i="9"/>
  <c r="E150" i="9"/>
  <c r="E149" i="9"/>
  <c r="E148" i="9"/>
  <c r="E147" i="9"/>
  <c r="E146" i="9"/>
  <c r="E145" i="9"/>
  <c r="E144" i="9"/>
  <c r="E143" i="9"/>
  <c r="E142" i="9"/>
  <c r="E141" i="9"/>
  <c r="E140" i="9"/>
  <c r="E139" i="9"/>
  <c r="E138" i="9"/>
  <c r="E137" i="9"/>
  <c r="E136" i="9"/>
  <c r="E135" i="9"/>
  <c r="E134" i="9"/>
  <c r="E133" i="9"/>
  <c r="E132" i="9"/>
  <c r="E131" i="9"/>
  <c r="E130" i="9"/>
  <c r="E129" i="9"/>
  <c r="E128" i="9"/>
  <c r="E127" i="9"/>
  <c r="E126" i="9"/>
  <c r="E125" i="9"/>
  <c r="E124" i="9"/>
  <c r="E123" i="9"/>
  <c r="E122" i="9"/>
  <c r="E121" i="9"/>
  <c r="E120" i="9"/>
  <c r="E119" i="9"/>
  <c r="E118" i="9"/>
  <c r="E117" i="9"/>
  <c r="E116" i="9"/>
  <c r="E115" i="9"/>
  <c r="E114" i="9"/>
  <c r="E113" i="9"/>
  <c r="E112" i="9"/>
  <c r="E111" i="9"/>
  <c r="E110" i="9"/>
  <c r="E109" i="9"/>
  <c r="E108" i="9"/>
  <c r="E107" i="9"/>
  <c r="E106" i="9"/>
  <c r="E105" i="9"/>
  <c r="E104" i="9"/>
  <c r="E103" i="9"/>
  <c r="E102" i="9"/>
  <c r="E101" i="9"/>
  <c r="E100" i="9"/>
  <c r="E99" i="9"/>
  <c r="E98" i="9"/>
  <c r="E97" i="9"/>
  <c r="E96" i="9"/>
  <c r="E95" i="9"/>
  <c r="E94" i="9"/>
  <c r="E93" i="9"/>
  <c r="E92" i="9"/>
  <c r="E91" i="9"/>
  <c r="E90" i="9"/>
  <c r="E89" i="9"/>
  <c r="E88" i="9"/>
  <c r="E87" i="9"/>
  <c r="E86" i="9"/>
  <c r="E85" i="9"/>
  <c r="E84" i="9"/>
  <c r="E83" i="9"/>
  <c r="E82" i="9"/>
  <c r="E81" i="9"/>
  <c r="E80" i="9"/>
  <c r="E79" i="9"/>
  <c r="E78" i="9"/>
  <c r="E77" i="9"/>
  <c r="E76" i="9"/>
  <c r="E75" i="9"/>
  <c r="E74" i="9"/>
  <c r="E73" i="9"/>
  <c r="I72" i="9"/>
  <c r="E72" i="9"/>
  <c r="E71" i="9"/>
  <c r="E70" i="9"/>
  <c r="I69" i="9"/>
  <c r="E69" i="9"/>
  <c r="I68" i="9"/>
  <c r="E68" i="9"/>
  <c r="I67" i="9"/>
  <c r="E67" i="9"/>
  <c r="E66" i="9"/>
  <c r="E65" i="9"/>
  <c r="E64" i="9"/>
  <c r="E63" i="9"/>
  <c r="E62" i="9"/>
  <c r="E61" i="9"/>
  <c r="E60" i="9"/>
  <c r="E59" i="9"/>
  <c r="E58" i="9"/>
  <c r="E57" i="9"/>
  <c r="E56" i="9"/>
  <c r="E55" i="9"/>
  <c r="E54" i="9"/>
  <c r="E53" i="9"/>
  <c r="E52" i="9"/>
  <c r="E51" i="9"/>
  <c r="E50" i="9"/>
  <c r="E49" i="9"/>
  <c r="E48" i="9"/>
  <c r="E47" i="9"/>
  <c r="E46" i="9"/>
  <c r="E45" i="9"/>
  <c r="E44" i="9"/>
  <c r="E43" i="9"/>
  <c r="E42" i="9"/>
  <c r="E41" i="9"/>
  <c r="E40" i="9"/>
  <c r="E39" i="9"/>
  <c r="E38" i="9"/>
  <c r="E37" i="9"/>
  <c r="E36" i="9"/>
  <c r="E35" i="9"/>
  <c r="E34" i="9"/>
  <c r="E33" i="9"/>
  <c r="E32" i="9"/>
  <c r="E31" i="9"/>
  <c r="E30" i="9"/>
  <c r="E29" i="9"/>
  <c r="E28" i="9"/>
  <c r="E27" i="9"/>
  <c r="E26" i="9"/>
  <c r="E25" i="9"/>
  <c r="E24" i="9"/>
  <c r="E23" i="9"/>
  <c r="E22" i="9"/>
  <c r="E21" i="9"/>
  <c r="E20" i="9"/>
  <c r="E19" i="9"/>
  <c r="E18" i="9"/>
  <c r="E17" i="9"/>
  <c r="E16" i="9"/>
  <c r="E15" i="9"/>
  <c r="E14" i="9"/>
  <c r="E13" i="9"/>
  <c r="E12" i="9"/>
  <c r="E11" i="9"/>
  <c r="E10" i="9"/>
  <c r="E9" i="9"/>
  <c r="E8" i="9"/>
  <c r="E7" i="9"/>
  <c r="E6" i="9"/>
  <c r="E5" i="9"/>
  <c r="E4" i="9"/>
  <c r="E3" i="9"/>
  <c r="E2" i="9"/>
  <c r="I127" i="29"/>
  <c r="K127" i="29"/>
  <c r="K126" i="29"/>
  <c r="L128" i="29"/>
  <c r="I126" i="29"/>
  <c r="K123" i="29"/>
  <c r="I123" i="29"/>
  <c r="G123" i="29"/>
  <c r="E123" i="29"/>
  <c r="K122" i="29"/>
  <c r="L124" i="29"/>
  <c r="I122" i="29"/>
  <c r="G122" i="29"/>
  <c r="E122" i="29"/>
  <c r="L118" i="29"/>
  <c r="K116" i="29"/>
  <c r="G116" i="29"/>
  <c r="I116" i="29"/>
  <c r="K113" i="29"/>
  <c r="I113" i="29"/>
  <c r="E112" i="29"/>
  <c r="I112" i="29"/>
  <c r="I111" i="29"/>
  <c r="K111" i="29"/>
  <c r="L114" i="29"/>
  <c r="E111" i="29"/>
  <c r="I109" i="29"/>
  <c r="K109" i="29"/>
  <c r="L109" i="29"/>
  <c r="E106" i="29"/>
  <c r="I106" i="29"/>
  <c r="K105" i="29"/>
  <c r="I105" i="29"/>
  <c r="E105" i="29"/>
  <c r="K102" i="29"/>
  <c r="K101" i="29"/>
  <c r="E101" i="29"/>
  <c r="I101" i="29"/>
  <c r="I100" i="29"/>
  <c r="K100" i="29"/>
  <c r="E100" i="29"/>
  <c r="I96" i="29"/>
  <c r="K96" i="29"/>
  <c r="E96" i="29"/>
  <c r="E95" i="29"/>
  <c r="I95" i="29"/>
  <c r="K95" i="29"/>
  <c r="I94" i="29"/>
  <c r="K94" i="29"/>
  <c r="E94" i="29"/>
  <c r="G91" i="29"/>
  <c r="G90" i="29"/>
  <c r="G89" i="29"/>
  <c r="G88" i="29"/>
  <c r="G87" i="29"/>
  <c r="G86" i="29"/>
  <c r="G85" i="29"/>
  <c r="G84" i="29"/>
  <c r="G83" i="29"/>
  <c r="G82" i="29"/>
  <c r="G81" i="29"/>
  <c r="G80" i="29"/>
  <c r="G79" i="29"/>
  <c r="K78" i="29"/>
  <c r="I78" i="29"/>
  <c r="G78" i="29"/>
  <c r="I77" i="29"/>
  <c r="K77" i="29"/>
  <c r="G77" i="29"/>
  <c r="G75" i="29"/>
  <c r="K74" i="29"/>
  <c r="I74" i="29"/>
  <c r="G74" i="29"/>
  <c r="E74" i="29"/>
  <c r="K73" i="29"/>
  <c r="I73" i="29"/>
  <c r="G73" i="29"/>
  <c r="G69" i="29"/>
  <c r="G68" i="29"/>
  <c r="G67" i="29"/>
  <c r="G66" i="29"/>
  <c r="G65" i="29"/>
  <c r="G64" i="29"/>
  <c r="G63" i="29"/>
  <c r="G62" i="29"/>
  <c r="G61" i="29"/>
  <c r="G60" i="29"/>
  <c r="G59" i="29"/>
  <c r="G58" i="29"/>
  <c r="G57" i="29"/>
  <c r="G53" i="29"/>
  <c r="E52" i="29"/>
  <c r="K51" i="29"/>
  <c r="K33" i="29"/>
  <c r="I33" i="29"/>
  <c r="G33" i="29"/>
  <c r="I32" i="29"/>
  <c r="G32" i="29"/>
  <c r="E32" i="29"/>
  <c r="K29" i="29"/>
  <c r="G29" i="29"/>
  <c r="G52" i="29"/>
  <c r="E29" i="29"/>
  <c r="I29" i="29"/>
  <c r="K28" i="29"/>
  <c r="I28" i="29"/>
  <c r="G28" i="29"/>
  <c r="G51" i="29"/>
  <c r="I51" i="29"/>
  <c r="K11" i="29"/>
  <c r="I11" i="29"/>
  <c r="G11" i="29"/>
  <c r="I10" i="29"/>
  <c r="K10" i="29"/>
  <c r="G10" i="29"/>
  <c r="K7" i="29"/>
  <c r="I7" i="29"/>
  <c r="G7" i="29"/>
  <c r="E7" i="29"/>
  <c r="K6" i="29"/>
  <c r="I6" i="29"/>
  <c r="G6" i="29"/>
  <c r="I4" i="29"/>
  <c r="K4" i="29"/>
  <c r="L4" i="29"/>
  <c r="G4" i="29"/>
  <c r="E4" i="29"/>
  <c r="D64" i="14"/>
  <c r="D63" i="14"/>
  <c r="D62" i="14"/>
  <c r="D61" i="14"/>
  <c r="D60" i="14"/>
  <c r="D59" i="14"/>
  <c r="D58" i="14"/>
  <c r="D57" i="14"/>
  <c r="D56" i="14"/>
  <c r="D55" i="14"/>
  <c r="E76" i="2"/>
  <c r="D54" i="14"/>
  <c r="E77" i="2"/>
  <c r="D53" i="14"/>
  <c r="D52" i="14"/>
  <c r="E74" i="2"/>
  <c r="D51" i="14"/>
  <c r="E73" i="2"/>
  <c r="D50" i="14"/>
  <c r="D49" i="14"/>
  <c r="D48" i="14"/>
  <c r="E70" i="2"/>
  <c r="D47" i="14"/>
  <c r="E69" i="2"/>
  <c r="D46" i="14"/>
  <c r="D45" i="14"/>
  <c r="D44" i="14"/>
  <c r="E65" i="2"/>
  <c r="D43" i="14"/>
  <c r="E64" i="2"/>
  <c r="D42" i="14"/>
  <c r="D41" i="14"/>
  <c r="D40" i="14"/>
  <c r="E61" i="2"/>
  <c r="D39" i="14"/>
  <c r="E60" i="2"/>
  <c r="D38" i="14"/>
  <c r="D37" i="14"/>
  <c r="D36" i="14"/>
  <c r="E57" i="2"/>
  <c r="D35" i="14"/>
  <c r="E56" i="2"/>
  <c r="D34" i="14"/>
  <c r="D33" i="14"/>
  <c r="D32" i="14"/>
  <c r="E53" i="2"/>
  <c r="D31" i="14"/>
  <c r="E51" i="2"/>
  <c r="D30" i="14"/>
  <c r="D29" i="14"/>
  <c r="D28" i="14"/>
  <c r="D27" i="14"/>
  <c r="E46" i="2"/>
  <c r="D26" i="14"/>
  <c r="D25" i="14"/>
  <c r="D24" i="14"/>
  <c r="D23" i="14"/>
  <c r="E39" i="2"/>
  <c r="D22" i="14"/>
  <c r="D21" i="14"/>
  <c r="D20" i="14"/>
  <c r="D19" i="14"/>
  <c r="E34" i="2"/>
  <c r="D17" i="14"/>
  <c r="D16" i="14"/>
  <c r="D15" i="14"/>
  <c r="E29" i="2"/>
  <c r="D14" i="14"/>
  <c r="D13" i="14"/>
  <c r="D12" i="14"/>
  <c r="D11" i="14"/>
  <c r="E25" i="2"/>
  <c r="D10" i="14"/>
  <c r="D9" i="14"/>
  <c r="D7" i="14"/>
  <c r="D6" i="14"/>
  <c r="D5" i="14"/>
  <c r="E18" i="2"/>
  <c r="D4" i="14"/>
  <c r="E16" i="2"/>
  <c r="D3" i="14"/>
  <c r="D2" i="14"/>
  <c r="C31" i="20"/>
  <c r="E27" i="17"/>
  <c r="E26" i="17"/>
  <c r="E25" i="17"/>
  <c r="E24" i="17"/>
  <c r="E28" i="17"/>
  <c r="E23" i="17"/>
  <c r="C23" i="17"/>
  <c r="F9" i="17"/>
  <c r="E9" i="17"/>
  <c r="E8" i="17"/>
  <c r="B8" i="17"/>
  <c r="B42" i="16"/>
  <c r="F24" i="16"/>
  <c r="E24" i="16"/>
  <c r="E23" i="16"/>
  <c r="B23" i="16"/>
  <c r="J13" i="16"/>
  <c r="J12" i="16"/>
  <c r="J11" i="16"/>
  <c r="J10" i="16"/>
  <c r="J9" i="16"/>
  <c r="J8" i="16"/>
  <c r="J7" i="16"/>
  <c r="J6" i="16"/>
  <c r="D59" i="20"/>
  <c r="D58" i="20"/>
  <c r="D60" i="20"/>
  <c r="G43" i="20"/>
  <c r="E43" i="20"/>
  <c r="G42" i="20"/>
  <c r="F42" i="20"/>
  <c r="D42" i="20"/>
  <c r="G40" i="20"/>
  <c r="E40" i="20"/>
  <c r="C40" i="20"/>
  <c r="E36" i="20"/>
  <c r="F33" i="20"/>
  <c r="G33" i="20"/>
  <c r="E33" i="20"/>
  <c r="C33" i="20"/>
  <c r="F32" i="20"/>
  <c r="F31" i="20"/>
  <c r="G31" i="20"/>
  <c r="E31" i="20"/>
  <c r="F30" i="20"/>
  <c r="G30" i="20"/>
  <c r="E30" i="20"/>
  <c r="C30" i="20"/>
  <c r="F29" i="20"/>
  <c r="G28" i="20"/>
  <c r="E28" i="20"/>
  <c r="F27" i="20"/>
  <c r="F26" i="20"/>
  <c r="C26" i="20"/>
  <c r="F25" i="20"/>
  <c r="E25" i="20"/>
  <c r="C25" i="20"/>
  <c r="G25" i="20"/>
  <c r="E121" i="2"/>
  <c r="E112" i="2"/>
  <c r="E104" i="2"/>
  <c r="E103" i="2"/>
  <c r="E102" i="2"/>
  <c r="E101" i="2"/>
  <c r="E100" i="2"/>
  <c r="E99" i="2"/>
  <c r="E98" i="2"/>
  <c r="K112" i="29"/>
  <c r="E97" i="2"/>
  <c r="E96" i="2"/>
  <c r="K32" i="29"/>
  <c r="E94" i="2"/>
  <c r="E93" i="2"/>
  <c r="E92" i="2"/>
  <c r="E91" i="2"/>
  <c r="E90" i="2"/>
  <c r="E89" i="2"/>
  <c r="E88" i="2"/>
  <c r="E84" i="2"/>
  <c r="E82" i="2"/>
  <c r="E81" i="2"/>
  <c r="E80" i="2"/>
  <c r="E79" i="2"/>
  <c r="E78" i="2"/>
  <c r="E75" i="2"/>
  <c r="E72" i="2"/>
  <c r="E71" i="2"/>
  <c r="E68" i="2"/>
  <c r="E67" i="2"/>
  <c r="E66" i="2"/>
  <c r="E63" i="2"/>
  <c r="E62" i="2"/>
  <c r="E59" i="2"/>
  <c r="E58" i="2"/>
  <c r="E55" i="2"/>
  <c r="E54" i="2"/>
  <c r="E52" i="2"/>
  <c r="E50" i="2"/>
  <c r="E49" i="2"/>
  <c r="E48" i="2"/>
  <c r="E47" i="2"/>
  <c r="E45" i="2"/>
  <c r="E44" i="2"/>
  <c r="E43" i="2"/>
  <c r="E42" i="2"/>
  <c r="E41" i="2"/>
  <c r="E40" i="2"/>
  <c r="E38" i="2"/>
  <c r="E37" i="2"/>
  <c r="E36" i="2"/>
  <c r="E35" i="2"/>
  <c r="E32" i="2"/>
  <c r="E31" i="2"/>
  <c r="E30" i="2"/>
  <c r="E26" i="2"/>
  <c r="E24" i="2"/>
  <c r="E22" i="2"/>
  <c r="E21" i="2"/>
  <c r="E20" i="2"/>
  <c r="E19" i="2"/>
  <c r="E17" i="2"/>
  <c r="E15" i="2"/>
  <c r="E13" i="2"/>
  <c r="E10" i="2"/>
  <c r="P145" i="8"/>
  <c r="P144" i="8"/>
  <c r="P143" i="8"/>
  <c r="P141" i="8"/>
  <c r="P140" i="8"/>
  <c r="P139" i="8"/>
  <c r="O139" i="8"/>
  <c r="P138" i="8"/>
  <c r="O138" i="8"/>
  <c r="P137" i="8"/>
  <c r="O137" i="8"/>
  <c r="P136" i="8"/>
  <c r="O136" i="8"/>
  <c r="P135" i="8"/>
  <c r="O135" i="8"/>
  <c r="P134" i="8"/>
  <c r="O134" i="8"/>
  <c r="P133" i="8"/>
  <c r="O133" i="8"/>
  <c r="P131" i="8"/>
  <c r="O131" i="8"/>
  <c r="P130" i="8"/>
  <c r="O130" i="8"/>
  <c r="P129" i="8"/>
  <c r="O129" i="8"/>
  <c r="P127" i="8"/>
  <c r="O127" i="8"/>
  <c r="P126" i="8"/>
  <c r="O126" i="8"/>
  <c r="P125" i="8"/>
  <c r="O125" i="8"/>
  <c r="P124" i="8"/>
  <c r="O124" i="8"/>
  <c r="P123" i="8"/>
  <c r="O123" i="8"/>
  <c r="P121" i="8"/>
  <c r="O121" i="8"/>
  <c r="P120" i="8"/>
  <c r="O120" i="8"/>
  <c r="P119" i="8"/>
  <c r="O119" i="8"/>
  <c r="P118" i="8"/>
  <c r="O118" i="8"/>
  <c r="P117" i="8"/>
  <c r="O117" i="8"/>
  <c r="P115" i="8"/>
  <c r="O115" i="8"/>
  <c r="P114" i="8"/>
  <c r="O114" i="8"/>
  <c r="P113" i="8"/>
  <c r="O113" i="8"/>
  <c r="P112" i="8"/>
  <c r="O112" i="8"/>
  <c r="P111" i="8"/>
  <c r="O111" i="8"/>
  <c r="P110" i="8"/>
  <c r="O110" i="8"/>
  <c r="P109" i="8"/>
  <c r="O109" i="8"/>
  <c r="P107" i="8"/>
  <c r="O107" i="8"/>
  <c r="P106" i="8"/>
  <c r="O106" i="8"/>
  <c r="P105" i="8"/>
  <c r="O105" i="8"/>
  <c r="P104" i="8"/>
  <c r="O104" i="8"/>
  <c r="P103" i="8"/>
  <c r="O103" i="8"/>
  <c r="P102" i="8"/>
  <c r="O102" i="8"/>
  <c r="P101" i="8"/>
  <c r="O101" i="8"/>
  <c r="P100" i="8"/>
  <c r="O100" i="8"/>
  <c r="P99" i="8"/>
  <c r="O99" i="8"/>
  <c r="P98" i="8"/>
  <c r="O98" i="8"/>
  <c r="P97" i="8"/>
  <c r="O97" i="8"/>
  <c r="P95" i="8"/>
  <c r="O95" i="8"/>
  <c r="P94" i="8"/>
  <c r="O94" i="8"/>
  <c r="P93" i="8"/>
  <c r="O93" i="8"/>
  <c r="P92" i="8"/>
  <c r="O92" i="8"/>
  <c r="P91" i="8"/>
  <c r="O91" i="8"/>
  <c r="P90" i="8"/>
  <c r="O90" i="8"/>
  <c r="P89" i="8"/>
  <c r="O89" i="8"/>
  <c r="P88" i="8"/>
  <c r="O88" i="8"/>
  <c r="P87" i="8"/>
  <c r="O87" i="8"/>
  <c r="P85" i="8"/>
  <c r="O85" i="8"/>
  <c r="P84" i="8"/>
  <c r="O84" i="8"/>
  <c r="P82" i="8"/>
  <c r="O82" i="8"/>
  <c r="P81" i="8"/>
  <c r="O81" i="8"/>
  <c r="P80" i="8"/>
  <c r="O80" i="8"/>
  <c r="P79" i="8"/>
  <c r="O79" i="8"/>
  <c r="P78" i="8"/>
  <c r="O78" i="8"/>
  <c r="P77" i="8"/>
  <c r="O77" i="8"/>
  <c r="P76" i="8"/>
  <c r="O76" i="8"/>
  <c r="P75" i="8"/>
  <c r="O75" i="8"/>
  <c r="P74" i="8"/>
  <c r="O74" i="8"/>
  <c r="P73" i="8"/>
  <c r="O73" i="8"/>
  <c r="P72" i="8"/>
  <c r="O72" i="8"/>
  <c r="P71" i="8"/>
  <c r="O71" i="8"/>
  <c r="P70" i="8"/>
  <c r="O70" i="8"/>
  <c r="P69" i="8"/>
  <c r="O69" i="8"/>
  <c r="P67" i="8"/>
  <c r="O67" i="8"/>
  <c r="P66" i="8"/>
  <c r="O66" i="8"/>
  <c r="P65" i="8"/>
  <c r="O65" i="8"/>
  <c r="P64" i="8"/>
  <c r="O64" i="8"/>
  <c r="P63" i="8"/>
  <c r="O63" i="8"/>
  <c r="P62" i="8"/>
  <c r="O62" i="8"/>
  <c r="P61" i="8"/>
  <c r="O61" i="8"/>
  <c r="P60" i="8"/>
  <c r="O60" i="8"/>
  <c r="P59" i="8"/>
  <c r="O59" i="8"/>
  <c r="P58" i="8"/>
  <c r="O58" i="8"/>
  <c r="P57" i="8"/>
  <c r="O57" i="8"/>
  <c r="P56" i="8"/>
  <c r="O56" i="8"/>
  <c r="P55" i="8"/>
  <c r="O55" i="8"/>
  <c r="P54" i="8"/>
  <c r="O54" i="8"/>
  <c r="P53" i="8"/>
  <c r="O53" i="8"/>
  <c r="P52" i="8"/>
  <c r="O52" i="8"/>
  <c r="K52" i="8"/>
  <c r="P50" i="8"/>
  <c r="O50" i="8"/>
  <c r="P48" i="8"/>
  <c r="O48" i="8"/>
  <c r="P47" i="8"/>
  <c r="O47" i="8"/>
  <c r="P45" i="8"/>
  <c r="O45" i="8"/>
  <c r="K45" i="8"/>
  <c r="P44" i="8"/>
  <c r="O44" i="8"/>
  <c r="P43" i="8"/>
  <c r="O43" i="8"/>
  <c r="P42" i="8"/>
  <c r="O42" i="8"/>
  <c r="P41" i="8"/>
  <c r="O41" i="8"/>
  <c r="P40" i="8"/>
  <c r="O40" i="8"/>
  <c r="P39" i="8"/>
  <c r="O39" i="8"/>
  <c r="P38" i="8"/>
  <c r="O38" i="8"/>
  <c r="P37" i="8"/>
  <c r="O37" i="8"/>
  <c r="P36" i="8"/>
  <c r="O36" i="8"/>
  <c r="P35" i="8"/>
  <c r="O35" i="8"/>
  <c r="P34" i="8"/>
  <c r="O34" i="8"/>
  <c r="K34" i="8"/>
  <c r="P33" i="8"/>
  <c r="O33" i="8"/>
  <c r="K33" i="8"/>
  <c r="P31" i="8"/>
  <c r="O31" i="8"/>
  <c r="P30" i="8"/>
  <c r="O30" i="8"/>
  <c r="P29" i="8"/>
  <c r="O29" i="8"/>
  <c r="P28" i="8"/>
  <c r="O28" i="8"/>
  <c r="P26" i="8"/>
  <c r="O26" i="8"/>
  <c r="P25" i="8"/>
  <c r="O25" i="8"/>
  <c r="P24" i="8"/>
  <c r="O24" i="8"/>
  <c r="P23" i="8"/>
  <c r="O23" i="8"/>
  <c r="P22" i="8"/>
  <c r="O22" i="8"/>
  <c r="P21" i="8"/>
  <c r="O21" i="8"/>
  <c r="P20" i="8"/>
  <c r="O20" i="8"/>
  <c r="P19" i="8"/>
  <c r="O19" i="8"/>
  <c r="P18" i="8"/>
  <c r="O18" i="8"/>
  <c r="P17" i="8"/>
  <c r="O17" i="8"/>
  <c r="P16" i="8"/>
  <c r="O16" i="8"/>
  <c r="P15" i="8"/>
  <c r="O15" i="8"/>
  <c r="P14" i="8"/>
  <c r="O14" i="8"/>
  <c r="P13" i="8"/>
  <c r="O13" i="8"/>
  <c r="P12" i="8"/>
  <c r="O12" i="8"/>
  <c r="P11" i="8"/>
  <c r="O11" i="8"/>
  <c r="P10" i="8"/>
  <c r="O10" i="8"/>
  <c r="P9" i="8"/>
  <c r="O9" i="8"/>
  <c r="P8" i="8"/>
  <c r="O8" i="8"/>
  <c r="P7" i="8"/>
  <c r="O7" i="8"/>
  <c r="P6" i="8"/>
  <c r="O6" i="8"/>
  <c r="P5" i="8"/>
  <c r="O5" i="8"/>
  <c r="P4" i="8"/>
  <c r="O4" i="8"/>
  <c r="P3" i="8"/>
  <c r="O3" i="8"/>
  <c r="K287" i="10"/>
  <c r="J287" i="10"/>
  <c r="H287" i="10"/>
  <c r="K286" i="10"/>
  <c r="J286" i="10"/>
  <c r="H286" i="10"/>
  <c r="K285" i="10"/>
  <c r="J285" i="10"/>
  <c r="H285" i="10"/>
  <c r="K284" i="10"/>
  <c r="J284" i="10"/>
  <c r="H284" i="10"/>
  <c r="K283" i="10"/>
  <c r="J283" i="10"/>
  <c r="H283" i="10"/>
  <c r="K282" i="10"/>
  <c r="J282" i="10"/>
  <c r="H282" i="10"/>
  <c r="K281" i="10"/>
  <c r="J281" i="10"/>
  <c r="H281" i="10"/>
  <c r="K280" i="10"/>
  <c r="J280" i="10"/>
  <c r="H280" i="10"/>
  <c r="K279" i="10"/>
  <c r="J279" i="10"/>
  <c r="H279" i="10"/>
  <c r="K278" i="10"/>
  <c r="J278" i="10"/>
  <c r="H278" i="10"/>
  <c r="K277" i="10"/>
  <c r="J277" i="10"/>
  <c r="H277" i="10"/>
  <c r="K276" i="10"/>
  <c r="J276" i="10"/>
  <c r="H276" i="10"/>
  <c r="W275" i="10"/>
  <c r="K275" i="10"/>
  <c r="J275" i="10"/>
  <c r="H275" i="10"/>
  <c r="K274" i="10"/>
  <c r="J274" i="10"/>
  <c r="H274" i="10"/>
  <c r="K273" i="10"/>
  <c r="J273" i="10"/>
  <c r="H273" i="10"/>
  <c r="K272" i="10"/>
  <c r="J272" i="10"/>
  <c r="H272" i="10"/>
  <c r="K271" i="10"/>
  <c r="J271" i="10"/>
  <c r="H271" i="10"/>
  <c r="K270" i="10"/>
  <c r="J270" i="10"/>
  <c r="H270" i="10"/>
  <c r="K269" i="10"/>
  <c r="J269" i="10"/>
  <c r="H269" i="10"/>
  <c r="K268" i="10"/>
  <c r="J268" i="10"/>
  <c r="H268" i="10"/>
  <c r="K267" i="10"/>
  <c r="J267" i="10"/>
  <c r="H267" i="10"/>
  <c r="K266" i="10"/>
  <c r="J266" i="10"/>
  <c r="H266" i="10"/>
  <c r="K265" i="10"/>
  <c r="J265" i="10"/>
  <c r="H265" i="10"/>
  <c r="K264" i="10"/>
  <c r="J264" i="10"/>
  <c r="H264" i="10"/>
  <c r="K263" i="10"/>
  <c r="J263" i="10"/>
  <c r="H263" i="10"/>
  <c r="K262" i="10"/>
  <c r="J262" i="10"/>
  <c r="H262" i="10"/>
  <c r="K261" i="10"/>
  <c r="J261" i="10"/>
  <c r="H261" i="10"/>
  <c r="K260" i="10"/>
  <c r="J260" i="10"/>
  <c r="H260" i="10"/>
  <c r="K259" i="10"/>
  <c r="J259" i="10"/>
  <c r="H259" i="10"/>
  <c r="K258" i="10"/>
  <c r="J258" i="10"/>
  <c r="H258" i="10"/>
  <c r="K257" i="10"/>
  <c r="J257" i="10"/>
  <c r="H257" i="10"/>
  <c r="K256" i="10"/>
  <c r="J256" i="10"/>
  <c r="H256" i="10"/>
  <c r="K255" i="10"/>
  <c r="J255" i="10"/>
  <c r="H255" i="10"/>
  <c r="K254" i="10"/>
  <c r="J254" i="10"/>
  <c r="H254" i="10"/>
  <c r="K253" i="10"/>
  <c r="J253" i="10"/>
  <c r="H253" i="10"/>
  <c r="K252" i="10"/>
  <c r="J252" i="10"/>
  <c r="H252" i="10"/>
  <c r="K251" i="10"/>
  <c r="J251" i="10"/>
  <c r="H251" i="10"/>
  <c r="K250" i="10"/>
  <c r="J250" i="10"/>
  <c r="H250" i="10"/>
  <c r="K249" i="10"/>
  <c r="J249" i="10"/>
  <c r="H249" i="10"/>
  <c r="K248" i="10"/>
  <c r="J248" i="10"/>
  <c r="H248" i="10"/>
  <c r="K247" i="10"/>
  <c r="J247" i="10"/>
  <c r="H247" i="10"/>
  <c r="K246" i="10"/>
  <c r="J246" i="10"/>
  <c r="H246" i="10"/>
  <c r="K245" i="10"/>
  <c r="J245" i="10"/>
  <c r="H245" i="10"/>
  <c r="K244" i="10"/>
  <c r="J244" i="10"/>
  <c r="H244" i="10"/>
  <c r="K243" i="10"/>
  <c r="J243" i="10"/>
  <c r="H243" i="10"/>
  <c r="K242" i="10"/>
  <c r="J242" i="10"/>
  <c r="H242" i="10"/>
  <c r="K241" i="10"/>
  <c r="J241" i="10"/>
  <c r="H241" i="10"/>
  <c r="K240" i="10"/>
  <c r="J240" i="10"/>
  <c r="H240" i="10"/>
  <c r="K239" i="10"/>
  <c r="J239" i="10"/>
  <c r="H239" i="10"/>
  <c r="K238" i="10"/>
  <c r="J238" i="10"/>
  <c r="H238" i="10"/>
  <c r="K237" i="10"/>
  <c r="J237" i="10"/>
  <c r="H237" i="10"/>
  <c r="X236" i="10"/>
  <c r="K236" i="10"/>
  <c r="J236" i="10"/>
  <c r="H236" i="10"/>
  <c r="K235" i="10"/>
  <c r="J235" i="10"/>
  <c r="H235" i="10"/>
  <c r="K234" i="10"/>
  <c r="J234" i="10"/>
  <c r="H234" i="10"/>
  <c r="K233" i="10"/>
  <c r="J233" i="10"/>
  <c r="H233" i="10"/>
  <c r="K232" i="10"/>
  <c r="J232" i="10"/>
  <c r="H232" i="10"/>
  <c r="K231" i="10"/>
  <c r="J231" i="10"/>
  <c r="H231" i="10"/>
  <c r="K230" i="10"/>
  <c r="J230" i="10"/>
  <c r="H230" i="10"/>
  <c r="K229" i="10"/>
  <c r="J229" i="10"/>
  <c r="H229" i="10"/>
  <c r="X228" i="10"/>
  <c r="K228" i="10"/>
  <c r="J228" i="10"/>
  <c r="H228" i="10"/>
  <c r="K227" i="10"/>
  <c r="J227" i="10"/>
  <c r="H227" i="10"/>
  <c r="K226" i="10"/>
  <c r="J226" i="10"/>
  <c r="H226" i="10"/>
  <c r="K225" i="10"/>
  <c r="J225" i="10"/>
  <c r="H225" i="10"/>
  <c r="K224" i="10"/>
  <c r="J224" i="10"/>
  <c r="H224" i="10"/>
  <c r="K223" i="10"/>
  <c r="J223" i="10"/>
  <c r="H223" i="10"/>
  <c r="K222" i="10"/>
  <c r="J222" i="10"/>
  <c r="H222" i="10"/>
  <c r="K221" i="10"/>
  <c r="J221" i="10"/>
  <c r="H221" i="10"/>
  <c r="K220" i="10"/>
  <c r="J220" i="10"/>
  <c r="H220" i="10"/>
  <c r="K219" i="10"/>
  <c r="J219" i="10"/>
  <c r="H219" i="10"/>
  <c r="K218" i="10"/>
  <c r="J218" i="10"/>
  <c r="H218" i="10"/>
  <c r="K217" i="10"/>
  <c r="J217" i="10"/>
  <c r="H217" i="10"/>
  <c r="K216" i="10"/>
  <c r="J216" i="10"/>
  <c r="H216" i="10"/>
  <c r="K215" i="10"/>
  <c r="J215" i="10"/>
  <c r="H215" i="10"/>
  <c r="K214" i="10"/>
  <c r="J214" i="10"/>
  <c r="H214" i="10"/>
  <c r="K213" i="10"/>
  <c r="J213" i="10"/>
  <c r="H213" i="10"/>
  <c r="K212" i="10"/>
  <c r="J212" i="10"/>
  <c r="H212" i="10"/>
  <c r="K211" i="10"/>
  <c r="J211" i="10"/>
  <c r="H211" i="10"/>
  <c r="K210" i="10"/>
  <c r="J210" i="10"/>
  <c r="H210" i="10"/>
  <c r="K209" i="10"/>
  <c r="J209" i="10"/>
  <c r="H209" i="10"/>
  <c r="K208" i="10"/>
  <c r="J208" i="10"/>
  <c r="H208" i="10"/>
  <c r="K207" i="10"/>
  <c r="J207" i="10"/>
  <c r="H207" i="10"/>
  <c r="K206" i="10"/>
  <c r="J206" i="10"/>
  <c r="H206" i="10"/>
  <c r="K205" i="10"/>
  <c r="J205" i="10"/>
  <c r="H205" i="10"/>
  <c r="K204" i="10"/>
  <c r="J204" i="10"/>
  <c r="H204" i="10"/>
  <c r="K203" i="10"/>
  <c r="J203" i="10"/>
  <c r="H203" i="10"/>
  <c r="K202" i="10"/>
  <c r="J202" i="10"/>
  <c r="H202" i="10"/>
  <c r="K201" i="10"/>
  <c r="J201" i="10"/>
  <c r="H201" i="10"/>
  <c r="K200" i="10"/>
  <c r="J200" i="10"/>
  <c r="H200" i="10"/>
  <c r="K199" i="10"/>
  <c r="J199" i="10"/>
  <c r="H199" i="10"/>
  <c r="K198" i="10"/>
  <c r="J198" i="10"/>
  <c r="H198" i="10"/>
  <c r="K197" i="10"/>
  <c r="J197" i="10"/>
  <c r="H197" i="10"/>
  <c r="K196" i="10"/>
  <c r="J196" i="10"/>
  <c r="H196" i="10"/>
  <c r="K195" i="10"/>
  <c r="J195" i="10"/>
  <c r="H195" i="10"/>
  <c r="K194" i="10"/>
  <c r="J194" i="10"/>
  <c r="H194" i="10"/>
  <c r="K193" i="10"/>
  <c r="J193" i="10"/>
  <c r="H193" i="10"/>
  <c r="K192" i="10"/>
  <c r="J192" i="10"/>
  <c r="H192" i="10"/>
  <c r="K191" i="10"/>
  <c r="J191" i="10"/>
  <c r="H191" i="10"/>
  <c r="K190" i="10"/>
  <c r="J190" i="10"/>
  <c r="H190" i="10"/>
  <c r="K189" i="10"/>
  <c r="J189" i="10"/>
  <c r="H189" i="10"/>
  <c r="K188" i="10"/>
  <c r="J188" i="10"/>
  <c r="H188" i="10"/>
  <c r="K187" i="10"/>
  <c r="J187" i="10"/>
  <c r="H187" i="10"/>
  <c r="K186" i="10"/>
  <c r="J186" i="10"/>
  <c r="H186" i="10"/>
  <c r="K185" i="10"/>
  <c r="J185" i="10"/>
  <c r="H185" i="10"/>
  <c r="K184" i="10"/>
  <c r="J184" i="10"/>
  <c r="H184" i="10"/>
  <c r="K183" i="10"/>
  <c r="J183" i="10"/>
  <c r="H183" i="10"/>
  <c r="K182" i="10"/>
  <c r="J182" i="10"/>
  <c r="H182" i="10"/>
  <c r="K181" i="10"/>
  <c r="J181" i="10"/>
  <c r="H181" i="10"/>
  <c r="K180" i="10"/>
  <c r="J180" i="10"/>
  <c r="H180" i="10"/>
  <c r="K179" i="10"/>
  <c r="J179" i="10"/>
  <c r="H179" i="10"/>
  <c r="K178" i="10"/>
  <c r="J178" i="10"/>
  <c r="H178" i="10"/>
  <c r="K177" i="10"/>
  <c r="J177" i="10"/>
  <c r="H177" i="10"/>
  <c r="K176" i="10"/>
  <c r="J176" i="10"/>
  <c r="H176" i="10"/>
  <c r="K175" i="10"/>
  <c r="J175" i="10"/>
  <c r="H175" i="10"/>
  <c r="K174" i="10"/>
  <c r="J174" i="10"/>
  <c r="H174" i="10"/>
  <c r="K173" i="10"/>
  <c r="J173" i="10"/>
  <c r="H173" i="10"/>
  <c r="K172" i="10"/>
  <c r="J172" i="10"/>
  <c r="H172" i="10"/>
  <c r="K171" i="10"/>
  <c r="J171" i="10"/>
  <c r="H171" i="10"/>
  <c r="K170" i="10"/>
  <c r="J170" i="10"/>
  <c r="H170" i="10"/>
  <c r="K169" i="10"/>
  <c r="J169" i="10"/>
  <c r="H169" i="10"/>
  <c r="K168" i="10"/>
  <c r="J168" i="10"/>
  <c r="H168" i="10"/>
  <c r="K167" i="10"/>
  <c r="J167" i="10"/>
  <c r="H167" i="10"/>
  <c r="K166" i="10"/>
  <c r="J166" i="10"/>
  <c r="H166" i="10"/>
  <c r="K165" i="10"/>
  <c r="J165" i="10"/>
  <c r="H165" i="10"/>
  <c r="K164" i="10"/>
  <c r="J164" i="10"/>
  <c r="H164" i="10"/>
  <c r="K163" i="10"/>
  <c r="J163" i="10"/>
  <c r="H163" i="10"/>
  <c r="K162" i="10"/>
  <c r="J162" i="10"/>
  <c r="H162" i="10"/>
  <c r="W161" i="10"/>
  <c r="K161" i="10"/>
  <c r="J161" i="10"/>
  <c r="H161" i="10"/>
  <c r="K160" i="10"/>
  <c r="J160" i="10"/>
  <c r="H160" i="10"/>
  <c r="K159" i="10"/>
  <c r="J159" i="10"/>
  <c r="H159" i="10"/>
  <c r="K158" i="10"/>
  <c r="J158" i="10"/>
  <c r="H158" i="10"/>
  <c r="K157" i="10"/>
  <c r="J157" i="10"/>
  <c r="H157" i="10"/>
  <c r="K156" i="10"/>
  <c r="J156" i="10"/>
  <c r="H156" i="10"/>
  <c r="K155" i="10"/>
  <c r="J155" i="10"/>
  <c r="H155" i="10"/>
  <c r="K154" i="10"/>
  <c r="J154" i="10"/>
  <c r="H154" i="10"/>
  <c r="K153" i="10"/>
  <c r="J153" i="10"/>
  <c r="H153" i="10"/>
  <c r="K152" i="10"/>
  <c r="J152" i="10"/>
  <c r="H152" i="10"/>
  <c r="K151" i="10"/>
  <c r="J151" i="10"/>
  <c r="H151" i="10"/>
  <c r="K150" i="10"/>
  <c r="J150" i="10"/>
  <c r="H150" i="10"/>
  <c r="K149" i="10"/>
  <c r="J149" i="10"/>
  <c r="H149" i="10"/>
  <c r="K148" i="10"/>
  <c r="J148" i="10"/>
  <c r="H148" i="10"/>
  <c r="K147" i="10"/>
  <c r="J147" i="10"/>
  <c r="H147" i="10"/>
  <c r="K146" i="10"/>
  <c r="J146" i="10"/>
  <c r="H146" i="10"/>
  <c r="K145" i="10"/>
  <c r="J145" i="10"/>
  <c r="H145" i="10"/>
  <c r="K144" i="10"/>
  <c r="J144" i="10"/>
  <c r="H144" i="10"/>
  <c r="K143" i="10"/>
  <c r="J143" i="10"/>
  <c r="H143" i="10"/>
  <c r="K142" i="10"/>
  <c r="J142" i="10"/>
  <c r="H142" i="10"/>
  <c r="K141" i="10"/>
  <c r="J141" i="10"/>
  <c r="H141" i="10"/>
  <c r="K140" i="10"/>
  <c r="J140" i="10"/>
  <c r="H140" i="10"/>
  <c r="K139" i="10"/>
  <c r="J139" i="10"/>
  <c r="H139" i="10"/>
  <c r="K138" i="10"/>
  <c r="J138" i="10"/>
  <c r="H138" i="10"/>
  <c r="K137" i="10"/>
  <c r="J137" i="10"/>
  <c r="H137" i="10"/>
  <c r="K136" i="10"/>
  <c r="J136" i="10"/>
  <c r="H136" i="10"/>
  <c r="K135" i="10"/>
  <c r="J135" i="10"/>
  <c r="H135" i="10"/>
  <c r="K134" i="10"/>
  <c r="J134" i="10"/>
  <c r="H134" i="10"/>
  <c r="K133" i="10"/>
  <c r="J133" i="10"/>
  <c r="H133" i="10"/>
  <c r="K132" i="10"/>
  <c r="J132" i="10"/>
  <c r="H132" i="10"/>
  <c r="K131" i="10"/>
  <c r="J131" i="10"/>
  <c r="H131" i="10"/>
  <c r="K130" i="10"/>
  <c r="J130" i="10"/>
  <c r="H130" i="10"/>
  <c r="K129" i="10"/>
  <c r="J129" i="10"/>
  <c r="H129" i="10"/>
  <c r="K128" i="10"/>
  <c r="J128" i="10"/>
  <c r="H128" i="10"/>
  <c r="K127" i="10"/>
  <c r="J127" i="10"/>
  <c r="H127" i="10"/>
  <c r="K126" i="10"/>
  <c r="J126" i="10"/>
  <c r="H126" i="10"/>
  <c r="K125" i="10"/>
  <c r="J125" i="10"/>
  <c r="H125" i="10"/>
  <c r="K124" i="10"/>
  <c r="J124" i="10"/>
  <c r="H124" i="10"/>
  <c r="K123" i="10"/>
  <c r="J123" i="10"/>
  <c r="H123" i="10"/>
  <c r="K122" i="10"/>
  <c r="J122" i="10"/>
  <c r="H122" i="10"/>
  <c r="K120" i="10"/>
  <c r="J120" i="10"/>
  <c r="H120" i="10"/>
  <c r="K119" i="10"/>
  <c r="J119" i="10"/>
  <c r="H119" i="10"/>
  <c r="K118" i="10"/>
  <c r="J118" i="10"/>
  <c r="H118" i="10"/>
  <c r="K117" i="10"/>
  <c r="J117" i="10"/>
  <c r="H117" i="10"/>
  <c r="K116" i="10"/>
  <c r="J116" i="10"/>
  <c r="H116" i="10"/>
  <c r="X115" i="10"/>
  <c r="K115" i="10"/>
  <c r="J115" i="10"/>
  <c r="H115" i="10"/>
  <c r="K114" i="10"/>
  <c r="J114" i="10"/>
  <c r="H114" i="10"/>
  <c r="K113" i="10"/>
  <c r="J113" i="10"/>
  <c r="H113" i="10"/>
  <c r="K112" i="10"/>
  <c r="J112" i="10"/>
  <c r="H112" i="10"/>
  <c r="K111" i="10"/>
  <c r="J111" i="10"/>
  <c r="H111" i="10"/>
  <c r="K109" i="10"/>
  <c r="J109" i="10"/>
  <c r="H109" i="10"/>
  <c r="K108" i="10"/>
  <c r="J108" i="10"/>
  <c r="H108" i="10"/>
  <c r="W107" i="10"/>
  <c r="K107" i="10"/>
  <c r="J107" i="10"/>
  <c r="H107" i="10"/>
  <c r="K106" i="10"/>
  <c r="J106" i="10"/>
  <c r="H106" i="10"/>
  <c r="W105" i="10"/>
  <c r="K105" i="10"/>
  <c r="J105" i="10"/>
  <c r="H105" i="10"/>
  <c r="K104" i="10"/>
  <c r="J104" i="10"/>
  <c r="H104" i="10"/>
  <c r="K103" i="10"/>
  <c r="J103" i="10"/>
  <c r="H103" i="10"/>
  <c r="W102" i="10"/>
  <c r="K102" i="10"/>
  <c r="J102" i="10"/>
  <c r="H102" i="10"/>
  <c r="K101" i="10"/>
  <c r="J101" i="10"/>
  <c r="H101" i="10"/>
  <c r="K100" i="10"/>
  <c r="J100" i="10"/>
  <c r="H100" i="10"/>
  <c r="K99" i="10"/>
  <c r="J99" i="10"/>
  <c r="H99" i="10"/>
  <c r="K98" i="10"/>
  <c r="J98" i="10"/>
  <c r="H98" i="10"/>
  <c r="K97" i="10"/>
  <c r="J97" i="10"/>
  <c r="H97" i="10"/>
  <c r="K96" i="10"/>
  <c r="J96" i="10"/>
  <c r="H96" i="10"/>
  <c r="K95" i="10"/>
  <c r="J95" i="10"/>
  <c r="H95" i="10"/>
  <c r="K94" i="10"/>
  <c r="J94" i="10"/>
  <c r="H94" i="10"/>
  <c r="K93" i="10"/>
  <c r="J93" i="10"/>
  <c r="H93" i="10"/>
  <c r="K92" i="10"/>
  <c r="J92" i="10"/>
  <c r="H92" i="10"/>
  <c r="W91" i="10"/>
  <c r="K91" i="10"/>
  <c r="J91" i="10"/>
  <c r="H91" i="10"/>
  <c r="K90" i="10"/>
  <c r="J90" i="10"/>
  <c r="H90" i="10"/>
  <c r="W89" i="10"/>
  <c r="K89" i="10"/>
  <c r="J89" i="10"/>
  <c r="H89" i="10"/>
  <c r="K88" i="10"/>
  <c r="J88" i="10"/>
  <c r="H88" i="10"/>
  <c r="K87" i="10"/>
  <c r="J87" i="10"/>
  <c r="H87" i="10"/>
  <c r="W86" i="10"/>
  <c r="K86" i="10"/>
  <c r="J86" i="10"/>
  <c r="H86" i="10"/>
  <c r="K85" i="10"/>
  <c r="J85" i="10"/>
  <c r="H85" i="10"/>
  <c r="K84" i="10"/>
  <c r="J84" i="10"/>
  <c r="H84" i="10"/>
  <c r="K83" i="10"/>
  <c r="J83" i="10"/>
  <c r="H83" i="10"/>
  <c r="K82" i="10"/>
  <c r="J82" i="10"/>
  <c r="H82" i="10"/>
  <c r="K81" i="10"/>
  <c r="J81" i="10"/>
  <c r="H81" i="10"/>
  <c r="K80" i="10"/>
  <c r="J80" i="10"/>
  <c r="H80" i="10"/>
  <c r="K79" i="10"/>
  <c r="J79" i="10"/>
  <c r="H79" i="10"/>
  <c r="K78" i="10"/>
  <c r="J78" i="10"/>
  <c r="H78" i="10"/>
  <c r="K77" i="10"/>
  <c r="J77" i="10"/>
  <c r="H77" i="10"/>
  <c r="K76" i="10"/>
  <c r="J76" i="10"/>
  <c r="H76" i="10"/>
  <c r="W75" i="10"/>
  <c r="K75" i="10"/>
  <c r="J75" i="10"/>
  <c r="H75" i="10"/>
  <c r="K74" i="10"/>
  <c r="J74" i="10"/>
  <c r="H74" i="10"/>
  <c r="W73" i="10"/>
  <c r="K73" i="10"/>
  <c r="J73" i="10"/>
  <c r="H73" i="10"/>
  <c r="K72" i="10"/>
  <c r="J72" i="10"/>
  <c r="H72" i="10"/>
  <c r="K71" i="10"/>
  <c r="J71" i="10"/>
  <c r="H71" i="10"/>
  <c r="W70" i="10"/>
  <c r="K70" i="10"/>
  <c r="J70" i="10"/>
  <c r="H70" i="10"/>
  <c r="K69" i="10"/>
  <c r="J69" i="10"/>
  <c r="H69" i="10"/>
  <c r="K68" i="10"/>
  <c r="J68" i="10"/>
  <c r="H68" i="10"/>
  <c r="K67" i="10"/>
  <c r="J67" i="10"/>
  <c r="H67" i="10"/>
  <c r="K66" i="10"/>
  <c r="J66" i="10"/>
  <c r="H66" i="10"/>
  <c r="K65" i="10"/>
  <c r="J65" i="10"/>
  <c r="H65" i="10"/>
  <c r="K64" i="10"/>
  <c r="J64" i="10"/>
  <c r="H64" i="10"/>
  <c r="K63" i="10"/>
  <c r="J63" i="10"/>
  <c r="H63" i="10"/>
  <c r="K62" i="10"/>
  <c r="J62" i="10"/>
  <c r="H62" i="10"/>
  <c r="K61" i="10"/>
  <c r="J61" i="10"/>
  <c r="H61" i="10"/>
  <c r="K60" i="10"/>
  <c r="J60" i="10"/>
  <c r="H60" i="10"/>
  <c r="W59" i="10"/>
  <c r="K59" i="10"/>
  <c r="J59" i="10"/>
  <c r="H59" i="10"/>
  <c r="K58" i="10"/>
  <c r="J58" i="10"/>
  <c r="H58" i="10"/>
  <c r="K57" i="10"/>
  <c r="J57" i="10"/>
  <c r="H57" i="10"/>
  <c r="K56" i="10"/>
  <c r="J56" i="10"/>
  <c r="H56" i="10"/>
  <c r="K55" i="10"/>
  <c r="J55" i="10"/>
  <c r="H55" i="10"/>
  <c r="W54" i="10"/>
  <c r="K54" i="10"/>
  <c r="J54" i="10"/>
  <c r="H54" i="10"/>
  <c r="K53" i="10"/>
  <c r="J53" i="10"/>
  <c r="H53" i="10"/>
  <c r="K52" i="10"/>
  <c r="J52" i="10"/>
  <c r="H52" i="10"/>
  <c r="W51" i="10"/>
  <c r="K51" i="10"/>
  <c r="J51" i="10"/>
  <c r="H51" i="10"/>
  <c r="K50" i="10"/>
  <c r="J50" i="10"/>
  <c r="H50" i="10"/>
  <c r="W49" i="10"/>
  <c r="K49" i="10"/>
  <c r="J49" i="10"/>
  <c r="H49" i="10"/>
  <c r="K48" i="10"/>
  <c r="J48" i="10"/>
  <c r="H48" i="10"/>
  <c r="K47" i="10"/>
  <c r="J47" i="10"/>
  <c r="H47" i="10"/>
  <c r="W46" i="10"/>
  <c r="K46" i="10"/>
  <c r="J46" i="10"/>
  <c r="H46" i="10"/>
  <c r="K45" i="10"/>
  <c r="J45" i="10"/>
  <c r="H45" i="10"/>
  <c r="K44" i="10"/>
  <c r="J44" i="10"/>
  <c r="H44" i="10"/>
  <c r="K43" i="10"/>
  <c r="J43" i="10"/>
  <c r="H43" i="10"/>
  <c r="K42" i="10"/>
  <c r="J42" i="10"/>
  <c r="H42" i="10"/>
  <c r="K41" i="10"/>
  <c r="J41" i="10"/>
  <c r="H41" i="10"/>
  <c r="K40" i="10"/>
  <c r="J40" i="10"/>
  <c r="H40" i="10"/>
  <c r="W39" i="10"/>
  <c r="K39" i="10"/>
  <c r="J39" i="10"/>
  <c r="H39" i="10"/>
  <c r="K38" i="10"/>
  <c r="J38" i="10"/>
  <c r="H38" i="10"/>
  <c r="K37" i="10"/>
  <c r="J37" i="10"/>
  <c r="H37" i="10"/>
  <c r="K36" i="10"/>
  <c r="J36" i="10"/>
  <c r="H36" i="10"/>
  <c r="K35" i="10"/>
  <c r="J35" i="10"/>
  <c r="H35" i="10"/>
  <c r="K34" i="10"/>
  <c r="J34" i="10"/>
  <c r="H34" i="10"/>
  <c r="K33" i="10"/>
  <c r="J33" i="10"/>
  <c r="H33" i="10"/>
  <c r="K32" i="10"/>
  <c r="J32" i="10"/>
  <c r="H32" i="10"/>
  <c r="W31" i="10"/>
  <c r="K31" i="10"/>
  <c r="J31" i="10"/>
  <c r="H31" i="10"/>
  <c r="K30" i="10"/>
  <c r="J30" i="10"/>
  <c r="H30" i="10"/>
  <c r="K29" i="10"/>
  <c r="J29" i="10"/>
  <c r="H29" i="10"/>
  <c r="K28" i="10"/>
  <c r="J28" i="10"/>
  <c r="H28" i="10"/>
  <c r="K27" i="10"/>
  <c r="J27" i="10"/>
  <c r="H27" i="10"/>
  <c r="X26" i="10"/>
  <c r="K26" i="10"/>
  <c r="J26" i="10"/>
  <c r="H26" i="10"/>
  <c r="K25" i="10"/>
  <c r="J25" i="10"/>
  <c r="H25" i="10"/>
  <c r="K24" i="10"/>
  <c r="J24" i="10"/>
  <c r="H24" i="10"/>
  <c r="W23" i="10"/>
  <c r="K23" i="10"/>
  <c r="J23" i="10"/>
  <c r="H23" i="10"/>
  <c r="K22" i="10"/>
  <c r="J22" i="10"/>
  <c r="H22" i="10"/>
  <c r="K21" i="10"/>
  <c r="J21" i="10"/>
  <c r="H21" i="10"/>
  <c r="K20" i="10"/>
  <c r="J20" i="10"/>
  <c r="H20" i="10"/>
  <c r="K18" i="10"/>
  <c r="J18" i="10"/>
  <c r="H18" i="10"/>
  <c r="K17" i="10"/>
  <c r="J17" i="10"/>
  <c r="H17" i="10"/>
  <c r="K16" i="10"/>
  <c r="J16" i="10"/>
  <c r="H16" i="10"/>
  <c r="K15" i="10"/>
  <c r="J15" i="10"/>
  <c r="H15" i="10"/>
  <c r="W14" i="10"/>
  <c r="K14" i="10"/>
  <c r="J14" i="10"/>
  <c r="H14" i="10"/>
  <c r="K13" i="10"/>
  <c r="J13" i="10"/>
  <c r="H13" i="10"/>
  <c r="K12" i="10"/>
  <c r="J12" i="10"/>
  <c r="H12" i="10"/>
  <c r="K11" i="10"/>
  <c r="J11" i="10"/>
  <c r="H11" i="10"/>
  <c r="K10" i="10"/>
  <c r="J10" i="10"/>
  <c r="H10" i="10"/>
  <c r="X9" i="10"/>
  <c r="K9" i="10"/>
  <c r="J9" i="10"/>
  <c r="H9" i="10"/>
  <c r="K8" i="10"/>
  <c r="J8" i="10"/>
  <c r="H8" i="10"/>
  <c r="K7" i="10"/>
  <c r="J7" i="10"/>
  <c r="H7" i="10"/>
  <c r="W6" i="10"/>
  <c r="K6" i="10"/>
  <c r="J6" i="10"/>
  <c r="H6" i="10"/>
  <c r="K5" i="10"/>
  <c r="J5" i="10"/>
  <c r="H5" i="10"/>
  <c r="K4" i="10"/>
  <c r="J4" i="10"/>
  <c r="H4" i="10"/>
  <c r="F250" i="35"/>
  <c r="E250" i="35"/>
  <c r="F249" i="35"/>
  <c r="E249" i="35"/>
  <c r="F248" i="35"/>
  <c r="E248" i="35"/>
  <c r="I248" i="35"/>
  <c r="K248" i="35"/>
  <c r="F247" i="35"/>
  <c r="F246" i="35"/>
  <c r="I245" i="35"/>
  <c r="K245" i="35"/>
  <c r="F245" i="35"/>
  <c r="E245" i="35"/>
  <c r="F244" i="35"/>
  <c r="E244" i="35"/>
  <c r="I244" i="35"/>
  <c r="K244" i="35"/>
  <c r="F243" i="35"/>
  <c r="F242" i="35"/>
  <c r="G241" i="35"/>
  <c r="F241" i="35"/>
  <c r="F240" i="35"/>
  <c r="G239" i="35"/>
  <c r="F239" i="35"/>
  <c r="G238" i="35"/>
  <c r="F238" i="35"/>
  <c r="G237" i="35"/>
  <c r="F237" i="35"/>
  <c r="F236" i="35"/>
  <c r="G235" i="35"/>
  <c r="F235" i="35"/>
  <c r="G234" i="35"/>
  <c r="I234" i="35"/>
  <c r="K234" i="35"/>
  <c r="E234" i="35"/>
  <c r="H231" i="35"/>
  <c r="G231" i="35"/>
  <c r="F231" i="35"/>
  <c r="H230" i="35"/>
  <c r="G230" i="35"/>
  <c r="H229" i="35"/>
  <c r="G229" i="35"/>
  <c r="H228" i="35"/>
  <c r="G228" i="35"/>
  <c r="F228" i="35"/>
  <c r="E228" i="35"/>
  <c r="H227" i="35"/>
  <c r="G227" i="35"/>
  <c r="F227" i="35"/>
  <c r="E227" i="35"/>
  <c r="I227" i="35"/>
  <c r="K227" i="35"/>
  <c r="H226" i="35"/>
  <c r="G226" i="35"/>
  <c r="F226" i="35"/>
  <c r="E226" i="35"/>
  <c r="I226" i="35"/>
  <c r="K226" i="35"/>
  <c r="H225" i="35"/>
  <c r="G225" i="35"/>
  <c r="F225" i="35"/>
  <c r="E225" i="35"/>
  <c r="I225" i="35"/>
  <c r="K225" i="35"/>
  <c r="H224" i="35"/>
  <c r="G224" i="35"/>
  <c r="F224" i="35"/>
  <c r="E224" i="35"/>
  <c r="I224" i="35"/>
  <c r="K224" i="35"/>
  <c r="H223" i="35"/>
  <c r="G223" i="35"/>
  <c r="F223" i="35"/>
  <c r="E223" i="35"/>
  <c r="I223" i="35"/>
  <c r="K223" i="35"/>
  <c r="H222" i="35"/>
  <c r="G222" i="35"/>
  <c r="F222" i="35"/>
  <c r="E222" i="35"/>
  <c r="H221" i="35"/>
  <c r="G221" i="35"/>
  <c r="F221" i="35"/>
  <c r="E221" i="35"/>
  <c r="I221" i="35"/>
  <c r="K221" i="35"/>
  <c r="H220" i="35"/>
  <c r="G220" i="35"/>
  <c r="F220" i="35"/>
  <c r="E220" i="35"/>
  <c r="H219" i="35"/>
  <c r="G219" i="35"/>
  <c r="F219" i="35"/>
  <c r="E219" i="35"/>
  <c r="I219" i="35"/>
  <c r="K219" i="35"/>
  <c r="H218" i="35"/>
  <c r="G218" i="35"/>
  <c r="F218" i="35"/>
  <c r="E218" i="35"/>
  <c r="I218" i="35"/>
  <c r="K218" i="35"/>
  <c r="H217" i="35"/>
  <c r="G217" i="35"/>
  <c r="F217" i="35"/>
  <c r="E217" i="35"/>
  <c r="I217" i="35"/>
  <c r="K217" i="35"/>
  <c r="H216" i="35"/>
  <c r="G216" i="35"/>
  <c r="F216" i="35"/>
  <c r="E216" i="35"/>
  <c r="I216" i="35"/>
  <c r="K216" i="35"/>
  <c r="H215" i="35"/>
  <c r="G215" i="35"/>
  <c r="F215" i="35"/>
  <c r="E215" i="35"/>
  <c r="I215" i="35"/>
  <c r="K215" i="35"/>
  <c r="H214" i="35"/>
  <c r="G214" i="35"/>
  <c r="F214" i="35"/>
  <c r="E214" i="35"/>
  <c r="H213" i="35"/>
  <c r="G213" i="35"/>
  <c r="F213" i="35"/>
  <c r="E213" i="35"/>
  <c r="I213" i="35"/>
  <c r="K213" i="35"/>
  <c r="H210" i="35"/>
  <c r="G210" i="35"/>
  <c r="H209" i="35"/>
  <c r="G209" i="35"/>
  <c r="F209" i="35"/>
  <c r="H208" i="35"/>
  <c r="G208" i="35"/>
  <c r="H207" i="35"/>
  <c r="G207" i="35"/>
  <c r="F207" i="35"/>
  <c r="E207" i="35"/>
  <c r="I207" i="35"/>
  <c r="K207" i="35"/>
  <c r="H206" i="35"/>
  <c r="G206" i="35"/>
  <c r="F206" i="35"/>
  <c r="E206" i="35"/>
  <c r="I206" i="35"/>
  <c r="K206" i="35"/>
  <c r="H205" i="35"/>
  <c r="G205" i="35"/>
  <c r="F205" i="35"/>
  <c r="E205" i="35"/>
  <c r="I205" i="35"/>
  <c r="K205" i="35"/>
  <c r="H204" i="35"/>
  <c r="G204" i="35"/>
  <c r="F204" i="35"/>
  <c r="E204" i="35"/>
  <c r="I204" i="35"/>
  <c r="K204" i="35"/>
  <c r="H203" i="35"/>
  <c r="G203" i="35"/>
  <c r="F203" i="35"/>
  <c r="E203" i="35"/>
  <c r="I203" i="35"/>
  <c r="K203" i="35"/>
  <c r="H202" i="35"/>
  <c r="G202" i="35"/>
  <c r="F202" i="35"/>
  <c r="E202" i="35"/>
  <c r="I202" i="35"/>
  <c r="K202" i="35"/>
  <c r="H201" i="35"/>
  <c r="G201" i="35"/>
  <c r="F201" i="35"/>
  <c r="E201" i="35"/>
  <c r="I201" i="35"/>
  <c r="K201" i="35"/>
  <c r="H200" i="35"/>
  <c r="G200" i="35"/>
  <c r="F200" i="35"/>
  <c r="E200" i="35"/>
  <c r="I200" i="35"/>
  <c r="K200" i="35"/>
  <c r="H199" i="35"/>
  <c r="G199" i="35"/>
  <c r="F199" i="35"/>
  <c r="E199" i="35"/>
  <c r="I199" i="35"/>
  <c r="K199" i="35"/>
  <c r="H198" i="35"/>
  <c r="G198" i="35"/>
  <c r="F198" i="35"/>
  <c r="E198" i="35"/>
  <c r="I198" i="35"/>
  <c r="K198" i="35"/>
  <c r="H197" i="35"/>
  <c r="G197" i="35"/>
  <c r="F197" i="35"/>
  <c r="E197" i="35"/>
  <c r="I197" i="35"/>
  <c r="K197" i="35"/>
  <c r="H196" i="35"/>
  <c r="G196" i="35"/>
  <c r="F196" i="35"/>
  <c r="E196" i="35"/>
  <c r="I196" i="35"/>
  <c r="K196" i="35"/>
  <c r="H195" i="35"/>
  <c r="G195" i="35"/>
  <c r="F195" i="35"/>
  <c r="E195" i="35"/>
  <c r="I195" i="35"/>
  <c r="K195" i="35"/>
  <c r="H194" i="35"/>
  <c r="G194" i="35"/>
  <c r="F194" i="35"/>
  <c r="E194" i="35"/>
  <c r="H193" i="35"/>
  <c r="G193" i="35"/>
  <c r="F193" i="35"/>
  <c r="E193" i="35"/>
  <c r="I193" i="35"/>
  <c r="K193" i="35"/>
  <c r="H192" i="35"/>
  <c r="G192" i="35"/>
  <c r="F192" i="35"/>
  <c r="E192" i="35"/>
  <c r="I192" i="35"/>
  <c r="K192" i="35"/>
  <c r="K188" i="35"/>
  <c r="I188" i="35"/>
  <c r="I187" i="35"/>
  <c r="K187" i="35"/>
  <c r="L189" i="35"/>
  <c r="G187" i="35"/>
  <c r="G184" i="35"/>
  <c r="I184" i="35"/>
  <c r="K184" i="35"/>
  <c r="L185" i="35"/>
  <c r="G180" i="35"/>
  <c r="F180" i="35"/>
  <c r="I179" i="35"/>
  <c r="K179" i="35"/>
  <c r="G179" i="35"/>
  <c r="F179" i="35"/>
  <c r="E179" i="35"/>
  <c r="H178" i="35"/>
  <c r="G178" i="35"/>
  <c r="F178" i="35"/>
  <c r="I177" i="35"/>
  <c r="K177" i="35"/>
  <c r="G177" i="35"/>
  <c r="E177" i="35"/>
  <c r="H176" i="35"/>
  <c r="G176" i="35"/>
  <c r="I175" i="35"/>
  <c r="K175" i="35"/>
  <c r="G175" i="35"/>
  <c r="F175" i="35"/>
  <c r="K174" i="35"/>
  <c r="I174" i="35"/>
  <c r="G174" i="35"/>
  <c r="F174" i="35"/>
  <c r="K173" i="35"/>
  <c r="H173" i="35"/>
  <c r="G173" i="35"/>
  <c r="I173" i="35"/>
  <c r="F173" i="35"/>
  <c r="H172" i="35"/>
  <c r="G172" i="35"/>
  <c r="I172" i="35"/>
  <c r="K172" i="35"/>
  <c r="I171" i="35"/>
  <c r="K171" i="35"/>
  <c r="H171" i="35"/>
  <c r="G171" i="35"/>
  <c r="F171" i="35"/>
  <c r="I170" i="35"/>
  <c r="K170" i="35"/>
  <c r="G170" i="35"/>
  <c r="F170" i="35"/>
  <c r="H169" i="35"/>
  <c r="G169" i="35"/>
  <c r="I169" i="35"/>
  <c r="K169" i="35"/>
  <c r="H168" i="35"/>
  <c r="G168" i="35"/>
  <c r="I168" i="35"/>
  <c r="K168" i="35"/>
  <c r="I167" i="35"/>
  <c r="K167" i="35"/>
  <c r="G167" i="35"/>
  <c r="F167" i="35"/>
  <c r="K166" i="35"/>
  <c r="I166" i="35"/>
  <c r="G166" i="35"/>
  <c r="F166" i="35"/>
  <c r="K165" i="35"/>
  <c r="H165" i="35"/>
  <c r="G165" i="35"/>
  <c r="I165" i="35"/>
  <c r="F165" i="35"/>
  <c r="H164" i="35"/>
  <c r="G164" i="35"/>
  <c r="I164" i="35"/>
  <c r="K164" i="35"/>
  <c r="I163" i="35"/>
  <c r="K163" i="35"/>
  <c r="H163" i="35"/>
  <c r="G163" i="35"/>
  <c r="F163" i="35"/>
  <c r="I162" i="35"/>
  <c r="K162" i="35"/>
  <c r="G162" i="35"/>
  <c r="F162" i="35"/>
  <c r="H161" i="35"/>
  <c r="G161" i="35"/>
  <c r="I161" i="35"/>
  <c r="K161" i="35"/>
  <c r="H160" i="35"/>
  <c r="G160" i="35"/>
  <c r="I160" i="35"/>
  <c r="K160" i="35"/>
  <c r="H156" i="35"/>
  <c r="G156" i="35"/>
  <c r="F156" i="35"/>
  <c r="H155" i="35"/>
  <c r="H177" i="35"/>
  <c r="G155" i="35"/>
  <c r="H154" i="35"/>
  <c r="G154" i="35"/>
  <c r="F154" i="35"/>
  <c r="F176" i="35"/>
  <c r="H153" i="35"/>
  <c r="H175" i="35"/>
  <c r="G153" i="35"/>
  <c r="I153" i="35"/>
  <c r="K153" i="35"/>
  <c r="F153" i="35"/>
  <c r="I152" i="35"/>
  <c r="K152" i="35"/>
  <c r="H152" i="35"/>
  <c r="H174" i="35"/>
  <c r="G152" i="35"/>
  <c r="F152" i="35"/>
  <c r="I151" i="35"/>
  <c r="K151" i="35"/>
  <c r="H151" i="35"/>
  <c r="G151" i="35"/>
  <c r="F151" i="35"/>
  <c r="H150" i="35"/>
  <c r="G150" i="35"/>
  <c r="I150" i="35"/>
  <c r="K150" i="35"/>
  <c r="F150" i="35"/>
  <c r="F172" i="35"/>
  <c r="H149" i="35"/>
  <c r="G149" i="35"/>
  <c r="I149" i="35"/>
  <c r="K149" i="35"/>
  <c r="F149" i="35"/>
  <c r="I148" i="35"/>
  <c r="K148" i="35"/>
  <c r="H148" i="35"/>
  <c r="H170" i="35"/>
  <c r="G148" i="35"/>
  <c r="F148" i="35"/>
  <c r="I147" i="35"/>
  <c r="K147" i="35"/>
  <c r="H147" i="35"/>
  <c r="G147" i="35"/>
  <c r="F147" i="35"/>
  <c r="F169" i="35"/>
  <c r="H146" i="35"/>
  <c r="G146" i="35"/>
  <c r="I146" i="35"/>
  <c r="K146" i="35"/>
  <c r="F146" i="35"/>
  <c r="F168" i="35"/>
  <c r="H145" i="35"/>
  <c r="H167" i="35"/>
  <c r="G145" i="35"/>
  <c r="I145" i="35"/>
  <c r="K145" i="35"/>
  <c r="F145" i="35"/>
  <c r="I144" i="35"/>
  <c r="K144" i="35"/>
  <c r="H144" i="35"/>
  <c r="H166" i="35"/>
  <c r="G144" i="35"/>
  <c r="F144" i="35"/>
  <c r="I143" i="35"/>
  <c r="K143" i="35"/>
  <c r="H143" i="35"/>
  <c r="G143" i="35"/>
  <c r="F143" i="35"/>
  <c r="H142" i="35"/>
  <c r="G142" i="35"/>
  <c r="I142" i="35"/>
  <c r="K142" i="35"/>
  <c r="F142" i="35"/>
  <c r="F164" i="35"/>
  <c r="H141" i="35"/>
  <c r="G141" i="35"/>
  <c r="I141" i="35"/>
  <c r="K141" i="35"/>
  <c r="F141" i="35"/>
  <c r="I140" i="35"/>
  <c r="K140" i="35"/>
  <c r="H140" i="35"/>
  <c r="H162" i="35"/>
  <c r="G140" i="35"/>
  <c r="F140" i="35"/>
  <c r="I139" i="35"/>
  <c r="K139" i="35"/>
  <c r="H139" i="35"/>
  <c r="G139" i="35"/>
  <c r="F139" i="35"/>
  <c r="F161" i="35"/>
  <c r="H138" i="35"/>
  <c r="G138" i="35"/>
  <c r="I138" i="35"/>
  <c r="K138" i="35"/>
  <c r="F138" i="35"/>
  <c r="F160" i="35"/>
  <c r="G135" i="35"/>
  <c r="I135" i="35"/>
  <c r="F135" i="35"/>
  <c r="F210" i="35"/>
  <c r="G134" i="35"/>
  <c r="F134" i="35"/>
  <c r="F230" i="35"/>
  <c r="G133" i="35"/>
  <c r="F133" i="35"/>
  <c r="G132" i="35"/>
  <c r="I132" i="35"/>
  <c r="K132" i="35"/>
  <c r="K131" i="35"/>
  <c r="G131" i="35"/>
  <c r="I131" i="35"/>
  <c r="I130" i="35"/>
  <c r="K130" i="35"/>
  <c r="G130" i="35"/>
  <c r="I129" i="35"/>
  <c r="K129" i="35"/>
  <c r="G129" i="35"/>
  <c r="G128" i="35"/>
  <c r="I128" i="35"/>
  <c r="K128" i="35"/>
  <c r="G127" i="35"/>
  <c r="I127" i="35"/>
  <c r="K127" i="35"/>
  <c r="I126" i="35"/>
  <c r="K126" i="35"/>
  <c r="G126" i="35"/>
  <c r="I125" i="35"/>
  <c r="K125" i="35"/>
  <c r="G125" i="35"/>
  <c r="G124" i="35"/>
  <c r="I124" i="35"/>
  <c r="K124" i="35"/>
  <c r="G123" i="35"/>
  <c r="I123" i="35"/>
  <c r="K123" i="35"/>
  <c r="I122" i="35"/>
  <c r="K122" i="35"/>
  <c r="G122" i="35"/>
  <c r="I121" i="35"/>
  <c r="K121" i="35"/>
  <c r="G121" i="35"/>
  <c r="G120" i="35"/>
  <c r="I120" i="35"/>
  <c r="K120" i="35"/>
  <c r="G119" i="35"/>
  <c r="I119" i="35"/>
  <c r="K119" i="35"/>
  <c r="I118" i="35"/>
  <c r="K118" i="35"/>
  <c r="G118" i="35"/>
  <c r="I117" i="35"/>
  <c r="K117" i="35"/>
  <c r="G117" i="35"/>
  <c r="G115" i="35"/>
  <c r="I112" i="35"/>
  <c r="E135" i="35"/>
  <c r="E210" i="35"/>
  <c r="I210" i="35"/>
  <c r="G112" i="35"/>
  <c r="E112" i="35"/>
  <c r="K111" i="35"/>
  <c r="I111" i="35"/>
  <c r="E155" i="35"/>
  <c r="G111" i="35"/>
  <c r="E110" i="35"/>
  <c r="I110" i="35"/>
  <c r="K110" i="35"/>
  <c r="G97" i="35"/>
  <c r="E97" i="35"/>
  <c r="I97" i="35"/>
  <c r="G96" i="35"/>
  <c r="E96" i="35"/>
  <c r="I96" i="35"/>
  <c r="K96" i="35"/>
  <c r="G95" i="35"/>
  <c r="I95" i="35"/>
  <c r="K95" i="35"/>
  <c r="F95" i="35"/>
  <c r="G93" i="35"/>
  <c r="I93" i="35"/>
  <c r="K93" i="35"/>
  <c r="F93" i="35"/>
  <c r="I92" i="35"/>
  <c r="G92" i="35"/>
  <c r="E92" i="35"/>
  <c r="F89" i="35"/>
  <c r="F88" i="35"/>
  <c r="F87" i="35"/>
  <c r="F86" i="35"/>
  <c r="F85" i="35"/>
  <c r="F84" i="35"/>
  <c r="F83" i="35"/>
  <c r="F82" i="35"/>
  <c r="F81" i="35"/>
  <c r="F80" i="35"/>
  <c r="F79" i="35"/>
  <c r="F78" i="35"/>
  <c r="F77" i="35"/>
  <c r="I76" i="35"/>
  <c r="K76" i="35"/>
  <c r="F75" i="35"/>
  <c r="G69" i="35"/>
  <c r="I69" i="35"/>
  <c r="F62" i="35"/>
  <c r="E61" i="35"/>
  <c r="I61" i="35"/>
  <c r="K61" i="35"/>
  <c r="G60" i="35"/>
  <c r="I60" i="35"/>
  <c r="E60" i="35"/>
  <c r="G59" i="35"/>
  <c r="E59" i="35"/>
  <c r="G58" i="35"/>
  <c r="E58" i="35"/>
  <c r="I58" i="35"/>
  <c r="I57" i="35"/>
  <c r="K57" i="35"/>
  <c r="G57" i="35"/>
  <c r="E57" i="35"/>
  <c r="G53" i="35"/>
  <c r="E53" i="35"/>
  <c r="I49" i="35"/>
  <c r="K49" i="35"/>
  <c r="G49" i="35"/>
  <c r="G48" i="35"/>
  <c r="I48" i="35"/>
  <c r="K48" i="35"/>
  <c r="G46" i="35"/>
  <c r="E46" i="35"/>
  <c r="G45" i="35"/>
  <c r="G44" i="35"/>
  <c r="I44" i="35"/>
  <c r="K44" i="35"/>
  <c r="F41" i="35"/>
  <c r="E41" i="35"/>
  <c r="I41" i="35"/>
  <c r="K41" i="35"/>
  <c r="F40" i="35"/>
  <c r="E40" i="35"/>
  <c r="I40" i="35"/>
  <c r="K40" i="35"/>
  <c r="F39" i="35"/>
  <c r="F38" i="35"/>
  <c r="F37" i="35"/>
  <c r="F36" i="35"/>
  <c r="F35" i="35"/>
  <c r="F34" i="35"/>
  <c r="F33" i="35"/>
  <c r="F32" i="35"/>
  <c r="F31" i="35"/>
  <c r="F30" i="35"/>
  <c r="H29" i="35"/>
  <c r="G29" i="35"/>
  <c r="G28" i="35"/>
  <c r="I28" i="35"/>
  <c r="G27" i="35"/>
  <c r="G26" i="35"/>
  <c r="F26" i="35"/>
  <c r="G23" i="35"/>
  <c r="I23" i="35"/>
  <c r="K22" i="35"/>
  <c r="I22" i="35"/>
  <c r="W129" i="10"/>
  <c r="G22" i="35"/>
  <c r="G249" i="35"/>
  <c r="I249" i="35"/>
  <c r="K249" i="35"/>
  <c r="I21" i="35"/>
  <c r="G21" i="35"/>
  <c r="G248" i="35"/>
  <c r="E21" i="35"/>
  <c r="I20" i="35"/>
  <c r="U16" i="10"/>
  <c r="G20" i="35"/>
  <c r="G247" i="35"/>
  <c r="E20" i="35"/>
  <c r="E247" i="35"/>
  <c r="I247" i="35"/>
  <c r="K247" i="35"/>
  <c r="I19" i="35"/>
  <c r="G19" i="35"/>
  <c r="G246" i="35"/>
  <c r="E19" i="35"/>
  <c r="E246" i="35"/>
  <c r="I18" i="35"/>
  <c r="E105" i="35"/>
  <c r="I105" i="35"/>
  <c r="K105" i="35"/>
  <c r="G18" i="35"/>
  <c r="G245" i="35"/>
  <c r="E18" i="35"/>
  <c r="I17" i="35"/>
  <c r="G17" i="35"/>
  <c r="G244" i="35"/>
  <c r="G16" i="35"/>
  <c r="G243" i="35"/>
  <c r="E16" i="35"/>
  <c r="G15" i="35"/>
  <c r="G242" i="35"/>
  <c r="E15" i="35"/>
  <c r="G14" i="35"/>
  <c r="G13" i="35"/>
  <c r="G240" i="35"/>
  <c r="E13" i="35"/>
  <c r="G12" i="35"/>
  <c r="E12" i="35"/>
  <c r="G11" i="35"/>
  <c r="E11" i="35"/>
  <c r="G10" i="35"/>
  <c r="E10" i="35"/>
  <c r="G9" i="35"/>
  <c r="G236" i="35"/>
  <c r="E9" i="35"/>
  <c r="I9" i="35"/>
  <c r="L235" i="10"/>
  <c r="G8" i="35"/>
  <c r="I7" i="35"/>
  <c r="K7" i="35"/>
  <c r="G7" i="35"/>
  <c r="E7" i="35"/>
  <c r="I6" i="35"/>
  <c r="K6" i="35"/>
  <c r="G6" i="35"/>
  <c r="G5" i="35"/>
  <c r="E5" i="35"/>
  <c r="I5" i="35"/>
  <c r="K5" i="35"/>
  <c r="G4" i="35"/>
  <c r="I4" i="35"/>
  <c r="K4" i="35"/>
  <c r="G3" i="35"/>
  <c r="E3" i="35"/>
  <c r="G52" i="34"/>
  <c r="I52" i="34"/>
  <c r="K52" i="34"/>
  <c r="L52" i="34"/>
  <c r="E50" i="34"/>
  <c r="I50" i="34"/>
  <c r="K50" i="34"/>
  <c r="L50" i="34"/>
  <c r="E46" i="34"/>
  <c r="I46" i="34"/>
  <c r="K46" i="34"/>
  <c r="L46" i="34"/>
  <c r="L44" i="34"/>
  <c r="I43" i="34"/>
  <c r="K43" i="34"/>
  <c r="E43" i="34"/>
  <c r="E42" i="34"/>
  <c r="I42" i="34"/>
  <c r="K42" i="34"/>
  <c r="E39" i="34"/>
  <c r="I39" i="34"/>
  <c r="K39" i="34"/>
  <c r="I38" i="34"/>
  <c r="K38" i="34"/>
  <c r="L40" i="34"/>
  <c r="E38" i="34"/>
  <c r="I37" i="34"/>
  <c r="K37" i="34"/>
  <c r="I34" i="34"/>
  <c r="K34" i="34"/>
  <c r="I33" i="34"/>
  <c r="K33" i="34"/>
  <c r="L35" i="34"/>
  <c r="K30" i="34"/>
  <c r="I30" i="34"/>
  <c r="F30" i="34"/>
  <c r="E30" i="34"/>
  <c r="F29" i="34"/>
  <c r="K26" i="34"/>
  <c r="F26" i="34"/>
  <c r="E26" i="34"/>
  <c r="I26" i="34"/>
  <c r="F25" i="34"/>
  <c r="E25" i="34"/>
  <c r="I24" i="34"/>
  <c r="K24" i="34"/>
  <c r="G24" i="34"/>
  <c r="G26" i="34"/>
  <c r="F24" i="34"/>
  <c r="E24" i="34"/>
  <c r="F21" i="34"/>
  <c r="E21" i="34"/>
  <c r="G20" i="34"/>
  <c r="I19" i="34"/>
  <c r="K19" i="34"/>
  <c r="G19" i="34"/>
  <c r="F19" i="34"/>
  <c r="E19" i="34"/>
  <c r="H16" i="34"/>
  <c r="F16" i="34"/>
  <c r="H15" i="34"/>
  <c r="F15" i="34"/>
  <c r="E15" i="34"/>
  <c r="K12" i="34"/>
  <c r="H12" i="34"/>
  <c r="F12" i="34"/>
  <c r="E12" i="34"/>
  <c r="I12" i="34"/>
  <c r="H11" i="34"/>
  <c r="G11" i="34"/>
  <c r="F11" i="34"/>
  <c r="E8" i="34"/>
  <c r="E16" i="34"/>
  <c r="I7" i="34"/>
  <c r="K7" i="34"/>
  <c r="K4" i="34"/>
  <c r="I4" i="34"/>
  <c r="G4" i="34"/>
  <c r="G12" i="34"/>
  <c r="I3" i="34"/>
  <c r="K3" i="34"/>
  <c r="L5" i="34"/>
  <c r="G3" i="34"/>
  <c r="G7" i="34"/>
  <c r="G15" i="34"/>
  <c r="I15" i="34"/>
  <c r="K15" i="34"/>
  <c r="E3" i="34"/>
  <c r="E29" i="34"/>
  <c r="I29" i="34"/>
  <c r="K29" i="34"/>
  <c r="L31" i="34"/>
  <c r="M6" i="12"/>
  <c r="M11" i="12"/>
  <c r="M7" i="12"/>
  <c r="M19" i="12"/>
  <c r="M10" i="12"/>
  <c r="M15" i="12"/>
  <c r="M9" i="12"/>
  <c r="M14" i="12"/>
  <c r="K28" i="35"/>
  <c r="L22" i="34"/>
  <c r="T138" i="8"/>
  <c r="T134" i="8"/>
  <c r="T129" i="8"/>
  <c r="T124" i="8"/>
  <c r="T119" i="8"/>
  <c r="T114" i="8"/>
  <c r="T110" i="8"/>
  <c r="T105" i="8"/>
  <c r="T145" i="8"/>
  <c r="T143" i="8"/>
  <c r="T140" i="8"/>
  <c r="T139" i="8"/>
  <c r="T135" i="8"/>
  <c r="T130" i="8"/>
  <c r="T125" i="8"/>
  <c r="T120" i="8"/>
  <c r="T115" i="8"/>
  <c r="T111" i="8"/>
  <c r="T106" i="8"/>
  <c r="T104" i="8"/>
  <c r="T103" i="8"/>
  <c r="T102" i="8"/>
  <c r="T101" i="8"/>
  <c r="T100" i="8"/>
  <c r="T99" i="8"/>
  <c r="T98" i="8"/>
  <c r="T97" i="8"/>
  <c r="T95" i="8"/>
  <c r="T94" i="8"/>
  <c r="T93" i="8"/>
  <c r="T92" i="8"/>
  <c r="T91" i="8"/>
  <c r="T90" i="8"/>
  <c r="T89" i="8"/>
  <c r="T88" i="8"/>
  <c r="T87" i="8"/>
  <c r="T85" i="8"/>
  <c r="T84" i="8"/>
  <c r="T82" i="8"/>
  <c r="T81" i="8"/>
  <c r="T80" i="8"/>
  <c r="T79" i="8"/>
  <c r="T78" i="8"/>
  <c r="T77" i="8"/>
  <c r="T76" i="8"/>
  <c r="T75" i="8"/>
  <c r="T74" i="8"/>
  <c r="T73" i="8"/>
  <c r="T72" i="8"/>
  <c r="T71" i="8"/>
  <c r="T70" i="8"/>
  <c r="T69" i="8"/>
  <c r="T67" i="8"/>
  <c r="T66" i="8"/>
  <c r="T65" i="8"/>
  <c r="T64" i="8"/>
  <c r="T63" i="8"/>
  <c r="T62" i="8"/>
  <c r="T61" i="8"/>
  <c r="T60" i="8"/>
  <c r="T59" i="8"/>
  <c r="T58" i="8"/>
  <c r="T57" i="8"/>
  <c r="T56" i="8"/>
  <c r="T55" i="8"/>
  <c r="T54" i="8"/>
  <c r="T53" i="8"/>
  <c r="T52" i="8"/>
  <c r="T141" i="8"/>
  <c r="T133" i="8"/>
  <c r="T123" i="8"/>
  <c r="T113" i="8"/>
  <c r="T48" i="8"/>
  <c r="T44" i="8"/>
  <c r="T43" i="8"/>
  <c r="T42" i="8"/>
  <c r="T41" i="8"/>
  <c r="T40" i="8"/>
  <c r="T39" i="8"/>
  <c r="T38" i="8"/>
  <c r="T37" i="8"/>
  <c r="T36" i="8"/>
  <c r="T35" i="8"/>
  <c r="T34" i="8"/>
  <c r="T131" i="8"/>
  <c r="T121" i="8"/>
  <c r="T112" i="8"/>
  <c r="T144" i="8"/>
  <c r="T127" i="8"/>
  <c r="T109" i="8"/>
  <c r="T50" i="8"/>
  <c r="T45" i="8"/>
  <c r="T136" i="8"/>
  <c r="T117" i="8"/>
  <c r="T137" i="8"/>
  <c r="T126" i="8"/>
  <c r="T29" i="8"/>
  <c r="T26" i="8"/>
  <c r="T24" i="8"/>
  <c r="T22" i="8"/>
  <c r="T20" i="8"/>
  <c r="T18" i="8"/>
  <c r="T16" i="8"/>
  <c r="T14" i="8"/>
  <c r="T12" i="8"/>
  <c r="T10" i="8"/>
  <c r="T8" i="8"/>
  <c r="T6" i="8"/>
  <c r="T4" i="8"/>
  <c r="T118" i="8"/>
  <c r="T31" i="8"/>
  <c r="T47" i="8"/>
  <c r="T30" i="8"/>
  <c r="T28" i="8"/>
  <c r="T25" i="8"/>
  <c r="T23" i="8"/>
  <c r="T21" i="8"/>
  <c r="T19" i="8"/>
  <c r="T17" i="8"/>
  <c r="T15" i="8"/>
  <c r="T13" i="8"/>
  <c r="T11" i="8"/>
  <c r="T9" i="8"/>
  <c r="T7" i="8"/>
  <c r="T5" i="8"/>
  <c r="T3" i="8"/>
  <c r="K60" i="35"/>
  <c r="T33" i="8"/>
  <c r="T107" i="8"/>
  <c r="E238" i="35"/>
  <c r="I238" i="35"/>
  <c r="K238" i="35"/>
  <c r="I11" i="35"/>
  <c r="E85" i="29"/>
  <c r="I85" i="29"/>
  <c r="K85" i="29"/>
  <c r="E40" i="29"/>
  <c r="I40" i="29"/>
  <c r="K40" i="29"/>
  <c r="E18" i="29"/>
  <c r="I18" i="29"/>
  <c r="K18" i="29"/>
  <c r="S145" i="8"/>
  <c r="S144" i="8"/>
  <c r="S143" i="8"/>
  <c r="S141" i="8"/>
  <c r="S140" i="8"/>
  <c r="S137" i="8"/>
  <c r="S133" i="8"/>
  <c r="S127" i="8"/>
  <c r="S123" i="8"/>
  <c r="S118" i="8"/>
  <c r="S113" i="8"/>
  <c r="S109" i="8"/>
  <c r="S138" i="8"/>
  <c r="S134" i="8"/>
  <c r="S129" i="8"/>
  <c r="S124" i="8"/>
  <c r="S119" i="8"/>
  <c r="S114" i="8"/>
  <c r="S110" i="8"/>
  <c r="S105" i="8"/>
  <c r="S139" i="8"/>
  <c r="S131" i="8"/>
  <c r="S130" i="8"/>
  <c r="S121" i="8"/>
  <c r="S120" i="8"/>
  <c r="S112" i="8"/>
  <c r="S111" i="8"/>
  <c r="S103" i="8"/>
  <c r="S99" i="8"/>
  <c r="S94" i="8"/>
  <c r="S90" i="8"/>
  <c r="S85" i="8"/>
  <c r="S80" i="8"/>
  <c r="S76" i="8"/>
  <c r="S47" i="8"/>
  <c r="S102" i="8"/>
  <c r="S98" i="8"/>
  <c r="S93" i="8"/>
  <c r="S89" i="8"/>
  <c r="S84" i="8"/>
  <c r="S79" i="8"/>
  <c r="S75" i="8"/>
  <c r="E63" i="29"/>
  <c r="I63" i="29"/>
  <c r="K63" i="29"/>
  <c r="S136" i="8"/>
  <c r="S125" i="8"/>
  <c r="S117" i="8"/>
  <c r="S106" i="8"/>
  <c r="S100" i="8"/>
  <c r="S97" i="8"/>
  <c r="S91" i="8"/>
  <c r="S88" i="8"/>
  <c r="S81" i="8"/>
  <c r="S78" i="8"/>
  <c r="S73" i="8"/>
  <c r="S72" i="8"/>
  <c r="S66" i="8"/>
  <c r="S62" i="8"/>
  <c r="S58" i="8"/>
  <c r="S54" i="8"/>
  <c r="S69" i="8"/>
  <c r="S67" i="8"/>
  <c r="S63" i="8"/>
  <c r="S59" i="8"/>
  <c r="S55" i="8"/>
  <c r="S33" i="8"/>
  <c r="S31" i="8"/>
  <c r="S126" i="8"/>
  <c r="S92" i="8"/>
  <c r="S74" i="8"/>
  <c r="S29" i="8"/>
  <c r="S26" i="8"/>
  <c r="S24" i="8"/>
  <c r="S22" i="8"/>
  <c r="S20" i="8"/>
  <c r="S18" i="8"/>
  <c r="S16" i="8"/>
  <c r="S14" i="8"/>
  <c r="S12" i="8"/>
  <c r="S10" i="8"/>
  <c r="S8" i="8"/>
  <c r="S6" i="8"/>
  <c r="S4" i="8"/>
  <c r="S135" i="8"/>
  <c r="S95" i="8"/>
  <c r="S77" i="8"/>
  <c r="S71" i="8"/>
  <c r="S61" i="8"/>
  <c r="S60" i="8"/>
  <c r="S53" i="8"/>
  <c r="S52" i="8"/>
  <c r="S107" i="8"/>
  <c r="S87" i="8"/>
  <c r="S82" i="8"/>
  <c r="S64" i="8"/>
  <c r="S57" i="8"/>
  <c r="S48" i="8"/>
  <c r="S44" i="8"/>
  <c r="S42" i="8"/>
  <c r="S40" i="8"/>
  <c r="S38" i="8"/>
  <c r="S36" i="8"/>
  <c r="S34" i="8"/>
  <c r="S104" i="8"/>
  <c r="S101" i="8"/>
  <c r="S70" i="8"/>
  <c r="S45" i="8"/>
  <c r="E62" i="35"/>
  <c r="I62" i="35"/>
  <c r="K62" i="35"/>
  <c r="S115" i="8"/>
  <c r="S56" i="8"/>
  <c r="S43" i="8"/>
  <c r="S41" i="8"/>
  <c r="S39" i="8"/>
  <c r="S37" i="8"/>
  <c r="S35" i="8"/>
  <c r="E104" i="35"/>
  <c r="I104" i="35"/>
  <c r="K104" i="35"/>
  <c r="S65" i="8"/>
  <c r="S50" i="8"/>
  <c r="S30" i="8"/>
  <c r="S25" i="8"/>
  <c r="S21" i="8"/>
  <c r="S17" i="8"/>
  <c r="S13" i="8"/>
  <c r="S9" i="8"/>
  <c r="S5" i="8"/>
  <c r="E35" i="35"/>
  <c r="I35" i="35"/>
  <c r="K35" i="35"/>
  <c r="S23" i="8"/>
  <c r="S15" i="8"/>
  <c r="S7" i="8"/>
  <c r="E87" i="29"/>
  <c r="I87" i="29"/>
  <c r="K87" i="29"/>
  <c r="E42" i="29"/>
  <c r="I42" i="29"/>
  <c r="K42" i="29"/>
  <c r="X137" i="8"/>
  <c r="X133" i="8"/>
  <c r="X127" i="8"/>
  <c r="X123" i="8"/>
  <c r="X118" i="8"/>
  <c r="X113" i="8"/>
  <c r="X109" i="8"/>
  <c r="E65" i="29"/>
  <c r="I65" i="29"/>
  <c r="K65" i="29"/>
  <c r="E20" i="29"/>
  <c r="I20" i="29"/>
  <c r="K20" i="29"/>
  <c r="X144" i="8"/>
  <c r="X141" i="8"/>
  <c r="X138" i="8"/>
  <c r="X134" i="8"/>
  <c r="X129" i="8"/>
  <c r="X124" i="8"/>
  <c r="X119" i="8"/>
  <c r="X114" i="8"/>
  <c r="X110" i="8"/>
  <c r="X105" i="8"/>
  <c r="X104" i="8"/>
  <c r="X103" i="8"/>
  <c r="X102" i="8"/>
  <c r="X101" i="8"/>
  <c r="X100" i="8"/>
  <c r="X99" i="8"/>
  <c r="X98" i="8"/>
  <c r="X97" i="8"/>
  <c r="X95" i="8"/>
  <c r="X94" i="8"/>
  <c r="X93" i="8"/>
  <c r="X92" i="8"/>
  <c r="X91" i="8"/>
  <c r="X90" i="8"/>
  <c r="X89" i="8"/>
  <c r="X88" i="8"/>
  <c r="X87" i="8"/>
  <c r="X85" i="8"/>
  <c r="X84" i="8"/>
  <c r="X82" i="8"/>
  <c r="X81" i="8"/>
  <c r="X80" i="8"/>
  <c r="X79" i="8"/>
  <c r="X78" i="8"/>
  <c r="X77" i="8"/>
  <c r="X76" i="8"/>
  <c r="X75" i="8"/>
  <c r="X74" i="8"/>
  <c r="X73" i="8"/>
  <c r="X72" i="8"/>
  <c r="X71" i="8"/>
  <c r="X70" i="8"/>
  <c r="X69" i="8"/>
  <c r="X67" i="8"/>
  <c r="X66" i="8"/>
  <c r="X65" i="8"/>
  <c r="X64" i="8"/>
  <c r="X63" i="8"/>
  <c r="X62" i="8"/>
  <c r="X61" i="8"/>
  <c r="X60" i="8"/>
  <c r="X59" i="8"/>
  <c r="X58" i="8"/>
  <c r="X57" i="8"/>
  <c r="X56" i="8"/>
  <c r="X55" i="8"/>
  <c r="X54" i="8"/>
  <c r="X53" i="8"/>
  <c r="X52" i="8"/>
  <c r="X136" i="8"/>
  <c r="X135" i="8"/>
  <c r="X126" i="8"/>
  <c r="X125" i="8"/>
  <c r="X117" i="8"/>
  <c r="X115" i="8"/>
  <c r="X107" i="8"/>
  <c r="X106" i="8"/>
  <c r="X47" i="8"/>
  <c r="X44" i="8"/>
  <c r="X43" i="8"/>
  <c r="X42" i="8"/>
  <c r="X41" i="8"/>
  <c r="X40" i="8"/>
  <c r="X39" i="8"/>
  <c r="X38" i="8"/>
  <c r="X37" i="8"/>
  <c r="X36" i="8"/>
  <c r="X35" i="8"/>
  <c r="X34" i="8"/>
  <c r="X145" i="8"/>
  <c r="T285" i="10"/>
  <c r="T281" i="10"/>
  <c r="T277" i="10"/>
  <c r="T273" i="10"/>
  <c r="T269" i="10"/>
  <c r="T265" i="10"/>
  <c r="T261" i="10"/>
  <c r="T257" i="10"/>
  <c r="T253" i="10"/>
  <c r="T249" i="10"/>
  <c r="T245" i="10"/>
  <c r="T241" i="10"/>
  <c r="X143" i="8"/>
  <c r="X131" i="8"/>
  <c r="X130" i="8"/>
  <c r="X112" i="8"/>
  <c r="X111" i="8"/>
  <c r="X33" i="8"/>
  <c r="X31" i="8"/>
  <c r="T286" i="10"/>
  <c r="X120" i="8"/>
  <c r="X30" i="8"/>
  <c r="T284" i="10"/>
  <c r="T282" i="10"/>
  <c r="T274" i="10"/>
  <c r="T266" i="10"/>
  <c r="T258" i="10"/>
  <c r="T250" i="10"/>
  <c r="T242" i="10"/>
  <c r="T237" i="10"/>
  <c r="T233" i="10"/>
  <c r="T229" i="10"/>
  <c r="T225" i="10"/>
  <c r="T221" i="10"/>
  <c r="T217" i="10"/>
  <c r="T213" i="10"/>
  <c r="T209" i="10"/>
  <c r="T205" i="10"/>
  <c r="T201" i="10"/>
  <c r="T197" i="10"/>
  <c r="T193" i="10"/>
  <c r="T189" i="10"/>
  <c r="T185" i="10"/>
  <c r="T181" i="10"/>
  <c r="T177" i="10"/>
  <c r="T173" i="10"/>
  <c r="T169" i="10"/>
  <c r="T165" i="10"/>
  <c r="T161" i="10"/>
  <c r="T157" i="10"/>
  <c r="T153" i="10"/>
  <c r="T149" i="10"/>
  <c r="T145" i="10"/>
  <c r="T141" i="10"/>
  <c r="T137" i="10"/>
  <c r="T133" i="10"/>
  <c r="T129" i="10"/>
  <c r="T125" i="10"/>
  <c r="X140" i="8"/>
  <c r="X28" i="8"/>
  <c r="X25" i="8"/>
  <c r="X23" i="8"/>
  <c r="X21" i="8"/>
  <c r="X19" i="8"/>
  <c r="X17" i="8"/>
  <c r="X15" i="8"/>
  <c r="X13" i="8"/>
  <c r="X11" i="8"/>
  <c r="X9" i="8"/>
  <c r="X7" i="8"/>
  <c r="X5" i="8"/>
  <c r="X3" i="8"/>
  <c r="T280" i="10"/>
  <c r="T275" i="10"/>
  <c r="T272" i="10"/>
  <c r="T267" i="10"/>
  <c r="T264" i="10"/>
  <c r="T259" i="10"/>
  <c r="T256" i="10"/>
  <c r="T251" i="10"/>
  <c r="T248" i="10"/>
  <c r="T243" i="10"/>
  <c r="T240" i="10"/>
  <c r="T238" i="10"/>
  <c r="T234" i="10"/>
  <c r="T230" i="10"/>
  <c r="T226" i="10"/>
  <c r="T222" i="10"/>
  <c r="T218" i="10"/>
  <c r="T214" i="10"/>
  <c r="T210" i="10"/>
  <c r="T206" i="10"/>
  <c r="T202" i="10"/>
  <c r="T198" i="10"/>
  <c r="T194" i="10"/>
  <c r="T190" i="10"/>
  <c r="T186" i="10"/>
  <c r="X139" i="8"/>
  <c r="T287" i="10"/>
  <c r="T270" i="10"/>
  <c r="T268" i="10"/>
  <c r="T254" i="10"/>
  <c r="T252" i="10"/>
  <c r="T183" i="10"/>
  <c r="T180" i="10"/>
  <c r="T175" i="10"/>
  <c r="T172" i="10"/>
  <c r="T167" i="10"/>
  <c r="T164" i="10"/>
  <c r="T159" i="10"/>
  <c r="T156" i="10"/>
  <c r="T151" i="10"/>
  <c r="T148" i="10"/>
  <c r="T143" i="10"/>
  <c r="T140" i="10"/>
  <c r="T135" i="10"/>
  <c r="T132" i="10"/>
  <c r="T127" i="10"/>
  <c r="T124" i="10"/>
  <c r="T117" i="10"/>
  <c r="T113" i="10"/>
  <c r="X45" i="8"/>
  <c r="T279" i="10"/>
  <c r="T263" i="10"/>
  <c r="T247" i="10"/>
  <c r="T236" i="10"/>
  <c r="T232" i="10"/>
  <c r="T228" i="10"/>
  <c r="T224" i="10"/>
  <c r="T220" i="10"/>
  <c r="T216" i="10"/>
  <c r="T212" i="10"/>
  <c r="T208" i="10"/>
  <c r="T204" i="10"/>
  <c r="T200" i="10"/>
  <c r="T196" i="10"/>
  <c r="T192" i="10"/>
  <c r="T188" i="10"/>
  <c r="T182" i="10"/>
  <c r="T174" i="10"/>
  <c r="T166" i="10"/>
  <c r="T158" i="10"/>
  <c r="T150" i="10"/>
  <c r="T142" i="10"/>
  <c r="T134" i="10"/>
  <c r="T126" i="10"/>
  <c r="T120" i="10"/>
  <c r="T116" i="10"/>
  <c r="T112" i="10"/>
  <c r="T107" i="10"/>
  <c r="T103" i="10"/>
  <c r="T99" i="10"/>
  <c r="T95" i="10"/>
  <c r="T91" i="10"/>
  <c r="T87" i="10"/>
  <c r="T83" i="10"/>
  <c r="T79" i="10"/>
  <c r="T75" i="10"/>
  <c r="T71" i="10"/>
  <c r="T67" i="10"/>
  <c r="T63" i="10"/>
  <c r="T59" i="10"/>
  <c r="T55" i="10"/>
  <c r="T51" i="10"/>
  <c r="T47" i="10"/>
  <c r="T271" i="10"/>
  <c r="T260" i="10"/>
  <c r="T239" i="10"/>
  <c r="T231" i="10"/>
  <c r="T223" i="10"/>
  <c r="T215" i="10"/>
  <c r="T207" i="10"/>
  <c r="T199" i="10"/>
  <c r="T191" i="10"/>
  <c r="T178" i="10"/>
  <c r="T176" i="10"/>
  <c r="T162" i="10"/>
  <c r="T160" i="10"/>
  <c r="T146" i="10"/>
  <c r="T144" i="10"/>
  <c r="T130" i="10"/>
  <c r="T128" i="10"/>
  <c r="T108" i="10"/>
  <c r="T100" i="10"/>
  <c r="T92" i="10"/>
  <c r="T84" i="10"/>
  <c r="T76" i="10"/>
  <c r="T68" i="10"/>
  <c r="T60" i="10"/>
  <c r="T52" i="10"/>
  <c r="T41" i="10"/>
  <c r="T37" i="10"/>
  <c r="T33" i="10"/>
  <c r="T29" i="10"/>
  <c r="T25" i="10"/>
  <c r="T21" i="10"/>
  <c r="T16" i="10"/>
  <c r="T12" i="10"/>
  <c r="T8" i="10"/>
  <c r="T4" i="10"/>
  <c r="X121" i="8"/>
  <c r="T262" i="10"/>
  <c r="T171" i="10"/>
  <c r="T155" i="10"/>
  <c r="T139" i="10"/>
  <c r="T123" i="10"/>
  <c r="T119" i="10"/>
  <c r="T115" i="10"/>
  <c r="T111" i="10"/>
  <c r="T105" i="10"/>
  <c r="T102" i="10"/>
  <c r="T97" i="10"/>
  <c r="T94" i="10"/>
  <c r="T89" i="10"/>
  <c r="T86" i="10"/>
  <c r="T81" i="10"/>
  <c r="T78" i="10"/>
  <c r="T73" i="10"/>
  <c r="T70" i="10"/>
  <c r="T65" i="10"/>
  <c r="T62" i="10"/>
  <c r="T57" i="10"/>
  <c r="T54" i="10"/>
  <c r="T49" i="10"/>
  <c r="T46" i="10"/>
  <c r="T44" i="10"/>
  <c r="T40" i="10"/>
  <c r="T36" i="10"/>
  <c r="T32" i="10"/>
  <c r="T28" i="10"/>
  <c r="T24" i="10"/>
  <c r="T20" i="10"/>
  <c r="T15" i="10"/>
  <c r="T11" i="10"/>
  <c r="T7" i="10"/>
  <c r="X50" i="8"/>
  <c r="T283" i="10"/>
  <c r="T276" i="10"/>
  <c r="T255" i="10"/>
  <c r="T244" i="10"/>
  <c r="T235" i="10"/>
  <c r="T227" i="10"/>
  <c r="T219" i="10"/>
  <c r="T211" i="10"/>
  <c r="T203" i="10"/>
  <c r="T195" i="10"/>
  <c r="T187" i="10"/>
  <c r="T184" i="10"/>
  <c r="T170" i="10"/>
  <c r="T168" i="10"/>
  <c r="T154" i="10"/>
  <c r="T152" i="10"/>
  <c r="T138" i="10"/>
  <c r="T136" i="10"/>
  <c r="T122" i="10"/>
  <c r="T104" i="10"/>
  <c r="T96" i="10"/>
  <c r="T88" i="10"/>
  <c r="T80" i="10"/>
  <c r="T72" i="10"/>
  <c r="T64" i="10"/>
  <c r="T56" i="10"/>
  <c r="T48" i="10"/>
  <c r="T43" i="10"/>
  <c r="T39" i="10"/>
  <c r="T35" i="10"/>
  <c r="T31" i="10"/>
  <c r="T27" i="10"/>
  <c r="T23" i="10"/>
  <c r="T18" i="10"/>
  <c r="T14" i="10"/>
  <c r="T10" i="10"/>
  <c r="T6" i="10"/>
  <c r="E85" i="35"/>
  <c r="I85" i="35"/>
  <c r="K85" i="35"/>
  <c r="T179" i="10"/>
  <c r="T147" i="10"/>
  <c r="T114" i="10"/>
  <c r="T109" i="10"/>
  <c r="T106" i="10"/>
  <c r="T101" i="10"/>
  <c r="T98" i="10"/>
  <c r="T93" i="10"/>
  <c r="T90" i="10"/>
  <c r="T85" i="10"/>
  <c r="T82" i="10"/>
  <c r="T77" i="10"/>
  <c r="T74" i="10"/>
  <c r="T69" i="10"/>
  <c r="T66" i="10"/>
  <c r="T61" i="10"/>
  <c r="T58" i="10"/>
  <c r="T53" i="10"/>
  <c r="T50" i="10"/>
  <c r="X26" i="8"/>
  <c r="X22" i="8"/>
  <c r="X18" i="8"/>
  <c r="X14" i="8"/>
  <c r="X10" i="8"/>
  <c r="X6" i="8"/>
  <c r="T118" i="10"/>
  <c r="X29" i="8"/>
  <c r="X20" i="8"/>
  <c r="X12" i="8"/>
  <c r="X4" i="8"/>
  <c r="T246" i="10"/>
  <c r="T42" i="10"/>
  <c r="T34" i="10"/>
  <c r="T26" i="10"/>
  <c r="T17" i="10"/>
  <c r="T9" i="10"/>
  <c r="E64" i="35"/>
  <c r="I64" i="35"/>
  <c r="K64" i="35"/>
  <c r="X24" i="8"/>
  <c r="X16" i="8"/>
  <c r="X8" i="8"/>
  <c r="T278" i="10"/>
  <c r="T38" i="10"/>
  <c r="T131" i="10"/>
  <c r="T45" i="10"/>
  <c r="E106" i="35"/>
  <c r="I106" i="35"/>
  <c r="K106" i="35"/>
  <c r="X48" i="8"/>
  <c r="E89" i="29"/>
  <c r="I89" i="29"/>
  <c r="K89" i="29"/>
  <c r="E44" i="29"/>
  <c r="I44" i="29"/>
  <c r="K44" i="29"/>
  <c r="E22" i="29"/>
  <c r="I22" i="29"/>
  <c r="K22" i="29"/>
  <c r="Y144" i="8"/>
  <c r="Y141" i="8"/>
  <c r="Y138" i="8"/>
  <c r="Y134" i="8"/>
  <c r="Y129" i="8"/>
  <c r="Y124" i="8"/>
  <c r="Y119" i="8"/>
  <c r="Y114" i="8"/>
  <c r="Y110" i="8"/>
  <c r="Y105" i="8"/>
  <c r="Y104" i="8"/>
  <c r="Y103" i="8"/>
  <c r="Y102" i="8"/>
  <c r="Y101" i="8"/>
  <c r="Y100" i="8"/>
  <c r="Y99" i="8"/>
  <c r="Y98" i="8"/>
  <c r="Y97" i="8"/>
  <c r="Y95" i="8"/>
  <c r="Y94" i="8"/>
  <c r="Y93" i="8"/>
  <c r="Y92" i="8"/>
  <c r="Y91" i="8"/>
  <c r="Y90" i="8"/>
  <c r="Y89" i="8"/>
  <c r="Y88" i="8"/>
  <c r="Y87" i="8"/>
  <c r="Y85" i="8"/>
  <c r="Y84" i="8"/>
  <c r="Y82" i="8"/>
  <c r="Y81" i="8"/>
  <c r="Y80" i="8"/>
  <c r="Y79" i="8"/>
  <c r="Y78" i="8"/>
  <c r="Y77" i="8"/>
  <c r="Y76" i="8"/>
  <c r="Y75" i="8"/>
  <c r="Y74" i="8"/>
  <c r="Y73" i="8"/>
  <c r="Y72" i="8"/>
  <c r="Y139" i="8"/>
  <c r="Y135" i="8"/>
  <c r="Y130" i="8"/>
  <c r="Y125" i="8"/>
  <c r="Y120" i="8"/>
  <c r="Y115" i="8"/>
  <c r="Y111" i="8"/>
  <c r="Y106" i="8"/>
  <c r="Y50" i="8"/>
  <c r="Y48" i="8"/>
  <c r="Y47" i="8"/>
  <c r="Y45" i="8"/>
  <c r="Y140" i="8"/>
  <c r="Y137" i="8"/>
  <c r="Y127" i="8"/>
  <c r="Y118" i="8"/>
  <c r="Y109" i="8"/>
  <c r="Y33" i="8"/>
  <c r="Y136" i="8"/>
  <c r="Y126" i="8"/>
  <c r="Y117" i="8"/>
  <c r="Y107" i="8"/>
  <c r="Y121" i="8"/>
  <c r="Y70" i="8"/>
  <c r="Y67" i="8"/>
  <c r="Y63" i="8"/>
  <c r="Y59" i="8"/>
  <c r="Y55" i="8"/>
  <c r="Y29" i="8"/>
  <c r="Y28" i="8"/>
  <c r="Y26" i="8"/>
  <c r="Y25" i="8"/>
  <c r="Y24" i="8"/>
  <c r="Y23" i="8"/>
  <c r="Y22" i="8"/>
  <c r="Y21" i="8"/>
  <c r="Y20" i="8"/>
  <c r="Y19" i="8"/>
  <c r="Y18" i="8"/>
  <c r="Y17" i="8"/>
  <c r="Y16" i="8"/>
  <c r="Y15" i="8"/>
  <c r="Y14" i="8"/>
  <c r="Y13" i="8"/>
  <c r="Y12" i="8"/>
  <c r="Y11" i="8"/>
  <c r="Y10" i="8"/>
  <c r="Y9" i="8"/>
  <c r="Y8" i="8"/>
  <c r="Y7" i="8"/>
  <c r="Y6" i="8"/>
  <c r="Y5" i="8"/>
  <c r="Y4" i="8"/>
  <c r="Y3" i="8"/>
  <c r="V287" i="10"/>
  <c r="V283" i="10"/>
  <c r="V279" i="10"/>
  <c r="V275" i="10"/>
  <c r="V271" i="10"/>
  <c r="V267" i="10"/>
  <c r="V263" i="10"/>
  <c r="V259" i="10"/>
  <c r="V255" i="10"/>
  <c r="V251" i="10"/>
  <c r="V247" i="10"/>
  <c r="V243" i="10"/>
  <c r="V239" i="10"/>
  <c r="Y133" i="8"/>
  <c r="Y113" i="8"/>
  <c r="Y71" i="8"/>
  <c r="Y64" i="8"/>
  <c r="Y60" i="8"/>
  <c r="Y56" i="8"/>
  <c r="Y52" i="8"/>
  <c r="V284" i="10"/>
  <c r="Y65" i="8"/>
  <c r="Y57" i="8"/>
  <c r="Y44" i="8"/>
  <c r="Y43" i="8"/>
  <c r="Y42" i="8"/>
  <c r="Y41" i="8"/>
  <c r="Y40" i="8"/>
  <c r="Y39" i="8"/>
  <c r="Y38" i="8"/>
  <c r="Y37" i="8"/>
  <c r="Y36" i="8"/>
  <c r="Y35" i="8"/>
  <c r="Y34" i="8"/>
  <c r="Y31" i="8"/>
  <c r="V281" i="10"/>
  <c r="V278" i="10"/>
  <c r="V276" i="10"/>
  <c r="V273" i="10"/>
  <c r="V270" i="10"/>
  <c r="V268" i="10"/>
  <c r="V265" i="10"/>
  <c r="V262" i="10"/>
  <c r="V260" i="10"/>
  <c r="V257" i="10"/>
  <c r="V254" i="10"/>
  <c r="V252" i="10"/>
  <c r="V249" i="10"/>
  <c r="V246" i="10"/>
  <c r="V244" i="10"/>
  <c r="V241" i="10"/>
  <c r="V235" i="10"/>
  <c r="V231" i="10"/>
  <c r="V227" i="10"/>
  <c r="V223" i="10"/>
  <c r="V219" i="10"/>
  <c r="V215" i="10"/>
  <c r="V211" i="10"/>
  <c r="V207" i="10"/>
  <c r="V203" i="10"/>
  <c r="V199" i="10"/>
  <c r="V195" i="10"/>
  <c r="V191" i="10"/>
  <c r="V187" i="10"/>
  <c r="V183" i="10"/>
  <c r="V179" i="10"/>
  <c r="V175" i="10"/>
  <c r="V171" i="10"/>
  <c r="V167" i="10"/>
  <c r="V163" i="10"/>
  <c r="V159" i="10"/>
  <c r="V155" i="10"/>
  <c r="V151" i="10"/>
  <c r="V147" i="10"/>
  <c r="V143" i="10"/>
  <c r="V139" i="10"/>
  <c r="V135" i="10"/>
  <c r="V131" i="10"/>
  <c r="V127" i="10"/>
  <c r="V123" i="10"/>
  <c r="Y145" i="8"/>
  <c r="Y112" i="8"/>
  <c r="Y66" i="8"/>
  <c r="Y58" i="8"/>
  <c r="Y30" i="8"/>
  <c r="V236" i="10"/>
  <c r="V232" i="10"/>
  <c r="V228" i="10"/>
  <c r="V224" i="10"/>
  <c r="V220" i="10"/>
  <c r="V216" i="10"/>
  <c r="V212" i="10"/>
  <c r="V208" i="10"/>
  <c r="V204" i="10"/>
  <c r="V200" i="10"/>
  <c r="V196" i="10"/>
  <c r="V192" i="10"/>
  <c r="V188" i="10"/>
  <c r="Y123" i="8"/>
  <c r="Y61" i="8"/>
  <c r="V282" i="10"/>
  <c r="V269" i="10"/>
  <c r="V266" i="10"/>
  <c r="V253" i="10"/>
  <c r="V250" i="10"/>
  <c r="V119" i="10"/>
  <c r="V115" i="10"/>
  <c r="V111" i="10"/>
  <c r="Y131" i="8"/>
  <c r="Y54" i="8"/>
  <c r="V285" i="10"/>
  <c r="V280" i="10"/>
  <c r="V264" i="10"/>
  <c r="V248" i="10"/>
  <c r="V184" i="10"/>
  <c r="V181" i="10"/>
  <c r="V178" i="10"/>
  <c r="V176" i="10"/>
  <c r="V173" i="10"/>
  <c r="V170" i="10"/>
  <c r="V168" i="10"/>
  <c r="V165" i="10"/>
  <c r="V162" i="10"/>
  <c r="V160" i="10"/>
  <c r="V157" i="10"/>
  <c r="V154" i="10"/>
  <c r="V152" i="10"/>
  <c r="V149" i="10"/>
  <c r="V146" i="10"/>
  <c r="V144" i="10"/>
  <c r="V141" i="10"/>
  <c r="V138" i="10"/>
  <c r="V136" i="10"/>
  <c r="V133" i="10"/>
  <c r="V130" i="10"/>
  <c r="V128" i="10"/>
  <c r="V125" i="10"/>
  <c r="V122" i="10"/>
  <c r="V118" i="10"/>
  <c r="V114" i="10"/>
  <c r="V109" i="10"/>
  <c r="V105" i="10"/>
  <c r="V101" i="10"/>
  <c r="V97" i="10"/>
  <c r="V93" i="10"/>
  <c r="V89" i="10"/>
  <c r="V85" i="10"/>
  <c r="V81" i="10"/>
  <c r="V77" i="10"/>
  <c r="V73" i="10"/>
  <c r="V69" i="10"/>
  <c r="V65" i="10"/>
  <c r="V61" i="10"/>
  <c r="V57" i="10"/>
  <c r="V53" i="10"/>
  <c r="V49" i="10"/>
  <c r="V45" i="10"/>
  <c r="E67" i="29"/>
  <c r="I67" i="29"/>
  <c r="K67" i="29"/>
  <c r="Y69" i="8"/>
  <c r="V274" i="10"/>
  <c r="V242" i="10"/>
  <c r="V234" i="10"/>
  <c r="V226" i="10"/>
  <c r="V218" i="10"/>
  <c r="V210" i="10"/>
  <c r="V202" i="10"/>
  <c r="V194" i="10"/>
  <c r="V186" i="10"/>
  <c r="V177" i="10"/>
  <c r="V174" i="10"/>
  <c r="V161" i="10"/>
  <c r="V158" i="10"/>
  <c r="V145" i="10"/>
  <c r="V142" i="10"/>
  <c r="V129" i="10"/>
  <c r="V126" i="10"/>
  <c r="V107" i="10"/>
  <c r="V104" i="10"/>
  <c r="V102" i="10"/>
  <c r="V99" i="10"/>
  <c r="V96" i="10"/>
  <c r="V94" i="10"/>
  <c r="V91" i="10"/>
  <c r="V88" i="10"/>
  <c r="V86" i="10"/>
  <c r="V83" i="10"/>
  <c r="V80" i="10"/>
  <c r="V78" i="10"/>
  <c r="V75" i="10"/>
  <c r="V72" i="10"/>
  <c r="V70" i="10"/>
  <c r="V67" i="10"/>
  <c r="V64" i="10"/>
  <c r="V62" i="10"/>
  <c r="V59" i="10"/>
  <c r="V56" i="10"/>
  <c r="V54" i="10"/>
  <c r="V51" i="10"/>
  <c r="V48" i="10"/>
  <c r="V46" i="10"/>
  <c r="V43" i="10"/>
  <c r="V39" i="10"/>
  <c r="V35" i="10"/>
  <c r="V31" i="10"/>
  <c r="V27" i="10"/>
  <c r="V23" i="10"/>
  <c r="V18" i="10"/>
  <c r="V14" i="10"/>
  <c r="V10" i="10"/>
  <c r="V6" i="10"/>
  <c r="V277" i="10"/>
  <c r="V256" i="10"/>
  <c r="V245" i="10"/>
  <c r="V237" i="10"/>
  <c r="V229" i="10"/>
  <c r="V221" i="10"/>
  <c r="V213" i="10"/>
  <c r="V205" i="10"/>
  <c r="V197" i="10"/>
  <c r="V189" i="10"/>
  <c r="V172" i="10"/>
  <c r="V156" i="10"/>
  <c r="V140" i="10"/>
  <c r="V124" i="10"/>
  <c r="V42" i="10"/>
  <c r="V38" i="10"/>
  <c r="V34" i="10"/>
  <c r="V30" i="10"/>
  <c r="V26" i="10"/>
  <c r="V22" i="10"/>
  <c r="V17" i="10"/>
  <c r="V13" i="10"/>
  <c r="V9" i="10"/>
  <c r="V5" i="10"/>
  <c r="Y62" i="8"/>
  <c r="V258" i="10"/>
  <c r="V238" i="10"/>
  <c r="V230" i="10"/>
  <c r="V222" i="10"/>
  <c r="V214" i="10"/>
  <c r="V206" i="10"/>
  <c r="V198" i="10"/>
  <c r="V190" i="10"/>
  <c r="V182" i="10"/>
  <c r="V169" i="10"/>
  <c r="V166" i="10"/>
  <c r="V153" i="10"/>
  <c r="V150" i="10"/>
  <c r="V137" i="10"/>
  <c r="V134" i="10"/>
  <c r="V120" i="10"/>
  <c r="V116" i="10"/>
  <c r="V112" i="10"/>
  <c r="V108" i="10"/>
  <c r="V106" i="10"/>
  <c r="V103" i="10"/>
  <c r="V100" i="10"/>
  <c r="V98" i="10"/>
  <c r="V95" i="10"/>
  <c r="V92" i="10"/>
  <c r="V90" i="10"/>
  <c r="V87" i="10"/>
  <c r="V84" i="10"/>
  <c r="V82" i="10"/>
  <c r="V79" i="10"/>
  <c r="V76" i="10"/>
  <c r="V74" i="10"/>
  <c r="V71" i="10"/>
  <c r="V68" i="10"/>
  <c r="V66" i="10"/>
  <c r="V63" i="10"/>
  <c r="V60" i="10"/>
  <c r="V58" i="10"/>
  <c r="V55" i="10"/>
  <c r="V52" i="10"/>
  <c r="V50" i="10"/>
  <c r="V47" i="10"/>
  <c r="V41" i="10"/>
  <c r="V37" i="10"/>
  <c r="V33" i="10"/>
  <c r="V29" i="10"/>
  <c r="V25" i="10"/>
  <c r="V21" i="10"/>
  <c r="V16" i="10"/>
  <c r="V12" i="10"/>
  <c r="V8" i="10"/>
  <c r="V4" i="10"/>
  <c r="E108" i="35"/>
  <c r="I108" i="35"/>
  <c r="K108" i="35"/>
  <c r="E87" i="35"/>
  <c r="I87" i="35"/>
  <c r="K87" i="35"/>
  <c r="Y143" i="8"/>
  <c r="V217" i="10"/>
  <c r="V185" i="10"/>
  <c r="V180" i="10"/>
  <c r="V148" i="10"/>
  <c r="V113" i="10"/>
  <c r="V286" i="10"/>
  <c r="V272" i="10"/>
  <c r="V240" i="10"/>
  <c r="V209" i="10"/>
  <c r="V117" i="10"/>
  <c r="V40" i="10"/>
  <c r="V32" i="10"/>
  <c r="V24" i="10"/>
  <c r="V15" i="10"/>
  <c r="V7" i="10"/>
  <c r="Y53" i="8"/>
  <c r="V44" i="10"/>
  <c r="V261" i="10"/>
  <c r="V201" i="10"/>
  <c r="V193" i="10"/>
  <c r="V132" i="10"/>
  <c r="E66" i="35"/>
  <c r="I66" i="35"/>
  <c r="K66" i="35"/>
  <c r="V36" i="10"/>
  <c r="E241" i="35"/>
  <c r="I241" i="35"/>
  <c r="K241" i="35"/>
  <c r="I53" i="35"/>
  <c r="U8" i="10"/>
  <c r="S116" i="10"/>
  <c r="E243" i="35"/>
  <c r="I243" i="35"/>
  <c r="K243" i="35"/>
  <c r="I16" i="35"/>
  <c r="E91" i="29"/>
  <c r="I91" i="29"/>
  <c r="K91" i="29"/>
  <c r="AA145" i="8"/>
  <c r="AA144" i="8"/>
  <c r="AA143" i="8"/>
  <c r="AA141" i="8"/>
  <c r="AA140" i="8"/>
  <c r="AA139" i="8"/>
  <c r="AA135" i="8"/>
  <c r="AA130" i="8"/>
  <c r="AA125" i="8"/>
  <c r="AA120" i="8"/>
  <c r="AA115" i="8"/>
  <c r="AA111" i="8"/>
  <c r="AA106" i="8"/>
  <c r="E69" i="29"/>
  <c r="I69" i="29"/>
  <c r="K69" i="29"/>
  <c r="AA136" i="8"/>
  <c r="AA131" i="8"/>
  <c r="AA126" i="8"/>
  <c r="AA121" i="8"/>
  <c r="AA117" i="8"/>
  <c r="AA112" i="8"/>
  <c r="AA107" i="8"/>
  <c r="AA103" i="8"/>
  <c r="AA99" i="8"/>
  <c r="AA94" i="8"/>
  <c r="AA90" i="8"/>
  <c r="AA85" i="8"/>
  <c r="AA80" i="8"/>
  <c r="AA76" i="8"/>
  <c r="AA72" i="8"/>
  <c r="AA50" i="8"/>
  <c r="AA138" i="8"/>
  <c r="AA137" i="8"/>
  <c r="AA129" i="8"/>
  <c r="AA127" i="8"/>
  <c r="AA119" i="8"/>
  <c r="AA118" i="8"/>
  <c r="AA110" i="8"/>
  <c r="AA109" i="8"/>
  <c r="AA102" i="8"/>
  <c r="AA98" i="8"/>
  <c r="AA93" i="8"/>
  <c r="AA89" i="8"/>
  <c r="AA84" i="8"/>
  <c r="AA79" i="8"/>
  <c r="AA75" i="8"/>
  <c r="AA71" i="8"/>
  <c r="AA70" i="8"/>
  <c r="AA69" i="8"/>
  <c r="AA124" i="8"/>
  <c r="AA123" i="8"/>
  <c r="AA105" i="8"/>
  <c r="AA104" i="8"/>
  <c r="AA101" i="8"/>
  <c r="AA95" i="8"/>
  <c r="AA92" i="8"/>
  <c r="AA87" i="8"/>
  <c r="AA82" i="8"/>
  <c r="AA77" i="8"/>
  <c r="AA74" i="8"/>
  <c r="AA66" i="8"/>
  <c r="AA62" i="8"/>
  <c r="AA58" i="8"/>
  <c r="AA54" i="8"/>
  <c r="AA45" i="8"/>
  <c r="AA44" i="8"/>
  <c r="AA43" i="8"/>
  <c r="AA42" i="8"/>
  <c r="AA41" i="8"/>
  <c r="AA40" i="8"/>
  <c r="AA39" i="8"/>
  <c r="AA38" i="8"/>
  <c r="AA37" i="8"/>
  <c r="AA36" i="8"/>
  <c r="AA35" i="8"/>
  <c r="AA34" i="8"/>
  <c r="AA30" i="8"/>
  <c r="X285" i="10"/>
  <c r="X281" i="10"/>
  <c r="X277" i="10"/>
  <c r="X273" i="10"/>
  <c r="X269" i="10"/>
  <c r="X265" i="10"/>
  <c r="X261" i="10"/>
  <c r="X257" i="10"/>
  <c r="X253" i="10"/>
  <c r="X249" i="10"/>
  <c r="X245" i="10"/>
  <c r="X241" i="10"/>
  <c r="AA67" i="8"/>
  <c r="AA63" i="8"/>
  <c r="AA59" i="8"/>
  <c r="AA55" i="8"/>
  <c r="X286" i="10"/>
  <c r="X282" i="10"/>
  <c r="AA113" i="8"/>
  <c r="AA91" i="8"/>
  <c r="AA73" i="8"/>
  <c r="AA48" i="8"/>
  <c r="AA47" i="8"/>
  <c r="AA29" i="8"/>
  <c r="AA26" i="8"/>
  <c r="AA24" i="8"/>
  <c r="AA22" i="8"/>
  <c r="AA20" i="8"/>
  <c r="AA18" i="8"/>
  <c r="AA16" i="8"/>
  <c r="AA14" i="8"/>
  <c r="AA12" i="8"/>
  <c r="AA10" i="8"/>
  <c r="AA8" i="8"/>
  <c r="AA6" i="8"/>
  <c r="AA4" i="8"/>
  <c r="X287" i="10"/>
  <c r="X283" i="10"/>
  <c r="X280" i="10"/>
  <c r="X275" i="10"/>
  <c r="X272" i="10"/>
  <c r="X267" i="10"/>
  <c r="X264" i="10"/>
  <c r="X259" i="10"/>
  <c r="X256" i="10"/>
  <c r="X251" i="10"/>
  <c r="X248" i="10"/>
  <c r="X243" i="10"/>
  <c r="X240" i="10"/>
  <c r="X237" i="10"/>
  <c r="X233" i="10"/>
  <c r="X229" i="10"/>
  <c r="X225" i="10"/>
  <c r="X221" i="10"/>
  <c r="X217" i="10"/>
  <c r="X213" i="10"/>
  <c r="X209" i="10"/>
  <c r="X205" i="10"/>
  <c r="X201" i="10"/>
  <c r="X197" i="10"/>
  <c r="X193" i="10"/>
  <c r="X189" i="10"/>
  <c r="X185" i="10"/>
  <c r="X181" i="10"/>
  <c r="X177" i="10"/>
  <c r="X173" i="10"/>
  <c r="X169" i="10"/>
  <c r="X165" i="10"/>
  <c r="X161" i="10"/>
  <c r="X157" i="10"/>
  <c r="X153" i="10"/>
  <c r="X149" i="10"/>
  <c r="X145" i="10"/>
  <c r="X141" i="10"/>
  <c r="X137" i="10"/>
  <c r="X133" i="10"/>
  <c r="X129" i="10"/>
  <c r="X125" i="10"/>
  <c r="X120" i="10"/>
  <c r="E46" i="29"/>
  <c r="I46" i="29"/>
  <c r="K46" i="29"/>
  <c r="E24" i="29"/>
  <c r="I24" i="29"/>
  <c r="K24" i="29"/>
  <c r="AA134" i="8"/>
  <c r="AA97" i="8"/>
  <c r="AA78" i="8"/>
  <c r="AA65" i="8"/>
  <c r="AA64" i="8"/>
  <c r="AA57" i="8"/>
  <c r="AA56" i="8"/>
  <c r="AA33" i="8"/>
  <c r="AA31" i="8"/>
  <c r="X278" i="10"/>
  <c r="X270" i="10"/>
  <c r="X262" i="10"/>
  <c r="X254" i="10"/>
  <c r="X246" i="10"/>
  <c r="X238" i="10"/>
  <c r="X234" i="10"/>
  <c r="X230" i="10"/>
  <c r="X226" i="10"/>
  <c r="X222" i="10"/>
  <c r="X218" i="10"/>
  <c r="X214" i="10"/>
  <c r="X210" i="10"/>
  <c r="X206" i="10"/>
  <c r="X202" i="10"/>
  <c r="X198" i="10"/>
  <c r="X194" i="10"/>
  <c r="X190" i="10"/>
  <c r="X186" i="10"/>
  <c r="AA81" i="8"/>
  <c r="AA28" i="8"/>
  <c r="AA25" i="8"/>
  <c r="AA23" i="8"/>
  <c r="AA21" i="8"/>
  <c r="AA19" i="8"/>
  <c r="AA17" i="8"/>
  <c r="AA15" i="8"/>
  <c r="AA13" i="8"/>
  <c r="AA11" i="8"/>
  <c r="AA9" i="8"/>
  <c r="AA7" i="8"/>
  <c r="AA5" i="8"/>
  <c r="AA3" i="8"/>
  <c r="X279" i="10"/>
  <c r="X263" i="10"/>
  <c r="X247" i="10"/>
  <c r="X178" i="10"/>
  <c r="X170" i="10"/>
  <c r="X162" i="10"/>
  <c r="X154" i="10"/>
  <c r="X146" i="10"/>
  <c r="X138" i="10"/>
  <c r="X130" i="10"/>
  <c r="X122" i="10"/>
  <c r="X117" i="10"/>
  <c r="X113" i="10"/>
  <c r="AA114" i="8"/>
  <c r="AA88" i="8"/>
  <c r="AA53" i="8"/>
  <c r="AA52" i="8"/>
  <c r="X276" i="10"/>
  <c r="X274" i="10"/>
  <c r="X260" i="10"/>
  <c r="X258" i="10"/>
  <c r="X244" i="10"/>
  <c r="X242" i="10"/>
  <c r="X235" i="10"/>
  <c r="X231" i="10"/>
  <c r="X227" i="10"/>
  <c r="X223" i="10"/>
  <c r="X219" i="10"/>
  <c r="X215" i="10"/>
  <c r="X211" i="10"/>
  <c r="X207" i="10"/>
  <c r="X203" i="10"/>
  <c r="X199" i="10"/>
  <c r="X195" i="10"/>
  <c r="X191" i="10"/>
  <c r="X187" i="10"/>
  <c r="X183" i="10"/>
  <c r="X180" i="10"/>
  <c r="X175" i="10"/>
  <c r="X172" i="10"/>
  <c r="X167" i="10"/>
  <c r="X164" i="10"/>
  <c r="X159" i="10"/>
  <c r="X156" i="10"/>
  <c r="X151" i="10"/>
  <c r="X148" i="10"/>
  <c r="X143" i="10"/>
  <c r="X140" i="10"/>
  <c r="X135" i="10"/>
  <c r="X132" i="10"/>
  <c r="X127" i="10"/>
  <c r="X124" i="10"/>
  <c r="X116" i="10"/>
  <c r="X112" i="10"/>
  <c r="X107" i="10"/>
  <c r="X103" i="10"/>
  <c r="X99" i="10"/>
  <c r="X95" i="10"/>
  <c r="X91" i="10"/>
  <c r="X87" i="10"/>
  <c r="X83" i="10"/>
  <c r="X79" i="10"/>
  <c r="X75" i="10"/>
  <c r="X71" i="10"/>
  <c r="X67" i="10"/>
  <c r="X63" i="10"/>
  <c r="X59" i="10"/>
  <c r="X55" i="10"/>
  <c r="X51" i="10"/>
  <c r="X47" i="10"/>
  <c r="AA100" i="8"/>
  <c r="AA60" i="8"/>
  <c r="X171" i="10"/>
  <c r="X155" i="10"/>
  <c r="X139" i="10"/>
  <c r="X123" i="10"/>
  <c r="X109" i="10"/>
  <c r="X106" i="10"/>
  <c r="X101" i="10"/>
  <c r="X98" i="10"/>
  <c r="X93" i="10"/>
  <c r="X90" i="10"/>
  <c r="X85" i="10"/>
  <c r="X82" i="10"/>
  <c r="X77" i="10"/>
  <c r="X74" i="10"/>
  <c r="X69" i="10"/>
  <c r="X66" i="10"/>
  <c r="X61" i="10"/>
  <c r="X58" i="10"/>
  <c r="X53" i="10"/>
  <c r="X50" i="10"/>
  <c r="X45" i="10"/>
  <c r="X41" i="10"/>
  <c r="X37" i="10"/>
  <c r="X33" i="10"/>
  <c r="X29" i="10"/>
  <c r="X25" i="10"/>
  <c r="X21" i="10"/>
  <c r="X16" i="10"/>
  <c r="X12" i="10"/>
  <c r="X8" i="10"/>
  <c r="X4" i="10"/>
  <c r="AA61" i="8"/>
  <c r="X268" i="10"/>
  <c r="X266" i="10"/>
  <c r="X255" i="10"/>
  <c r="X232" i="10"/>
  <c r="X224" i="10"/>
  <c r="X216" i="10"/>
  <c r="X208" i="10"/>
  <c r="X200" i="10"/>
  <c r="X192" i="10"/>
  <c r="X184" i="10"/>
  <c r="X182" i="10"/>
  <c r="X168" i="10"/>
  <c r="X166" i="10"/>
  <c r="X152" i="10"/>
  <c r="X150" i="10"/>
  <c r="X136" i="10"/>
  <c r="X134" i="10"/>
  <c r="X118" i="10"/>
  <c r="X114" i="10"/>
  <c r="X108" i="10"/>
  <c r="X100" i="10"/>
  <c r="X92" i="10"/>
  <c r="X84" i="10"/>
  <c r="X76" i="10"/>
  <c r="X68" i="10"/>
  <c r="X60" i="10"/>
  <c r="X52" i="10"/>
  <c r="X44" i="10"/>
  <c r="X40" i="10"/>
  <c r="X36" i="10"/>
  <c r="X32" i="10"/>
  <c r="X28" i="10"/>
  <c r="X24" i="10"/>
  <c r="X20" i="10"/>
  <c r="X15" i="10"/>
  <c r="X11" i="10"/>
  <c r="X7" i="10"/>
  <c r="AA133" i="8"/>
  <c r="X284" i="10"/>
  <c r="X179" i="10"/>
  <c r="X163" i="10"/>
  <c r="X147" i="10"/>
  <c r="X131" i="10"/>
  <c r="X105" i="10"/>
  <c r="X102" i="10"/>
  <c r="X97" i="10"/>
  <c r="X94" i="10"/>
  <c r="X89" i="10"/>
  <c r="X86" i="10"/>
  <c r="X81" i="10"/>
  <c r="X78" i="10"/>
  <c r="X73" i="10"/>
  <c r="X70" i="10"/>
  <c r="X65" i="10"/>
  <c r="X62" i="10"/>
  <c r="X57" i="10"/>
  <c r="X54" i="10"/>
  <c r="X49" i="10"/>
  <c r="X46" i="10"/>
  <c r="X43" i="10"/>
  <c r="X39" i="10"/>
  <c r="X35" i="10"/>
  <c r="X31" i="10"/>
  <c r="X27" i="10"/>
  <c r="X23" i="10"/>
  <c r="X18" i="10"/>
  <c r="X14" i="10"/>
  <c r="X10" i="10"/>
  <c r="X6" i="10"/>
  <c r="E89" i="35"/>
  <c r="I89" i="35"/>
  <c r="K89" i="35"/>
  <c r="X252" i="10"/>
  <c r="X250" i="10"/>
  <c r="X220" i="10"/>
  <c r="X188" i="10"/>
  <c r="X158" i="10"/>
  <c r="X126" i="10"/>
  <c r="X119" i="10"/>
  <c r="X271" i="10"/>
  <c r="X239" i="10"/>
  <c r="X212" i="10"/>
  <c r="X176" i="10"/>
  <c r="X144" i="10"/>
  <c r="X160" i="10"/>
  <c r="X48" i="10"/>
  <c r="E68" i="35"/>
  <c r="I68" i="35"/>
  <c r="K68" i="35"/>
  <c r="K23" i="35"/>
  <c r="X128" i="10"/>
  <c r="X204" i="10"/>
  <c r="X196" i="10"/>
  <c r="X174" i="10"/>
  <c r="X111" i="10"/>
  <c r="X96" i="10"/>
  <c r="X80" i="10"/>
  <c r="X64" i="10"/>
  <c r="X56" i="10"/>
  <c r="X38" i="10"/>
  <c r="X30" i="10"/>
  <c r="X22" i="10"/>
  <c r="X13" i="10"/>
  <c r="X5" i="10"/>
  <c r="G250" i="35"/>
  <c r="I250" i="35"/>
  <c r="K250" i="35"/>
  <c r="T13" i="10"/>
  <c r="I8" i="34"/>
  <c r="K8" i="34"/>
  <c r="L9" i="34"/>
  <c r="E29" i="35"/>
  <c r="I29" i="35"/>
  <c r="K29" i="35"/>
  <c r="E237" i="35"/>
  <c r="I237" i="35"/>
  <c r="K237" i="35"/>
  <c r="I10" i="35"/>
  <c r="J41" i="35"/>
  <c r="K69" i="35"/>
  <c r="E180" i="35"/>
  <c r="I180" i="35"/>
  <c r="K180" i="35"/>
  <c r="E176" i="35"/>
  <c r="I176" i="35"/>
  <c r="K176" i="35"/>
  <c r="K97" i="35"/>
  <c r="E154" i="35"/>
  <c r="E133" i="35"/>
  <c r="X17" i="10"/>
  <c r="X88" i="10"/>
  <c r="S28" i="8"/>
  <c r="I21" i="34"/>
  <c r="K21" i="34"/>
  <c r="E80" i="29"/>
  <c r="I80" i="29"/>
  <c r="K80" i="29"/>
  <c r="E79" i="29"/>
  <c r="I79" i="29"/>
  <c r="K79" i="29"/>
  <c r="E34" i="29"/>
  <c r="I34" i="29"/>
  <c r="K34" i="29"/>
  <c r="E13" i="29"/>
  <c r="I13" i="29"/>
  <c r="K13" i="29"/>
  <c r="L136" i="8"/>
  <c r="L131" i="8"/>
  <c r="L126" i="8"/>
  <c r="L121" i="8"/>
  <c r="L117" i="8"/>
  <c r="L112" i="8"/>
  <c r="L107" i="8"/>
  <c r="E57" i="29"/>
  <c r="I57" i="29"/>
  <c r="K57" i="29"/>
  <c r="E12" i="29"/>
  <c r="I12" i="29"/>
  <c r="K12" i="29"/>
  <c r="L145" i="8"/>
  <c r="L143" i="8"/>
  <c r="L140" i="8"/>
  <c r="L137" i="8"/>
  <c r="L133" i="8"/>
  <c r="L127" i="8"/>
  <c r="L123" i="8"/>
  <c r="L118" i="8"/>
  <c r="L113" i="8"/>
  <c r="L109" i="8"/>
  <c r="L104" i="8"/>
  <c r="L103" i="8"/>
  <c r="L102" i="8"/>
  <c r="L101" i="8"/>
  <c r="L100" i="8"/>
  <c r="L99" i="8"/>
  <c r="L98" i="8"/>
  <c r="L97" i="8"/>
  <c r="L95" i="8"/>
  <c r="L94" i="8"/>
  <c r="L93" i="8"/>
  <c r="L92" i="8"/>
  <c r="L91" i="8"/>
  <c r="L90" i="8"/>
  <c r="L89" i="8"/>
  <c r="L88" i="8"/>
  <c r="L87" i="8"/>
  <c r="L85" i="8"/>
  <c r="L84" i="8"/>
  <c r="L82" i="8"/>
  <c r="L81" i="8"/>
  <c r="L80" i="8"/>
  <c r="L79" i="8"/>
  <c r="L78" i="8"/>
  <c r="L77" i="8"/>
  <c r="L76" i="8"/>
  <c r="L75" i="8"/>
  <c r="L74" i="8"/>
  <c r="L73" i="8"/>
  <c r="L72" i="8"/>
  <c r="L71" i="8"/>
  <c r="L70" i="8"/>
  <c r="L69" i="8"/>
  <c r="L67" i="8"/>
  <c r="L66" i="8"/>
  <c r="L65" i="8"/>
  <c r="L64" i="8"/>
  <c r="L63" i="8"/>
  <c r="L62" i="8"/>
  <c r="L61" i="8"/>
  <c r="L60" i="8"/>
  <c r="L59" i="8"/>
  <c r="L58" i="8"/>
  <c r="L57" i="8"/>
  <c r="L56" i="8"/>
  <c r="L55" i="8"/>
  <c r="L54" i="8"/>
  <c r="L53" i="8"/>
  <c r="L52" i="8"/>
  <c r="E58" i="29"/>
  <c r="I58" i="29"/>
  <c r="K58" i="29"/>
  <c r="L144" i="8"/>
  <c r="L45" i="8"/>
  <c r="L44" i="8"/>
  <c r="L43" i="8"/>
  <c r="L42" i="8"/>
  <c r="L41" i="8"/>
  <c r="L40" i="8"/>
  <c r="L39" i="8"/>
  <c r="L38" i="8"/>
  <c r="L37" i="8"/>
  <c r="L36" i="8"/>
  <c r="L35" i="8"/>
  <c r="L34" i="8"/>
  <c r="L141" i="8"/>
  <c r="L135" i="8"/>
  <c r="L134" i="8"/>
  <c r="L125" i="8"/>
  <c r="L124" i="8"/>
  <c r="L115" i="8"/>
  <c r="L114" i="8"/>
  <c r="L106" i="8"/>
  <c r="L105" i="8"/>
  <c r="L33" i="8"/>
  <c r="L31" i="8"/>
  <c r="L284" i="10"/>
  <c r="L280" i="10"/>
  <c r="L276" i="10"/>
  <c r="L272" i="10"/>
  <c r="L268" i="10"/>
  <c r="L264" i="10"/>
  <c r="L260" i="10"/>
  <c r="L256" i="10"/>
  <c r="L252" i="10"/>
  <c r="L248" i="10"/>
  <c r="L244" i="10"/>
  <c r="L240" i="10"/>
  <c r="E35" i="29"/>
  <c r="I35" i="29"/>
  <c r="K35" i="29"/>
  <c r="L138" i="8"/>
  <c r="L130" i="8"/>
  <c r="L119" i="8"/>
  <c r="L111" i="8"/>
  <c r="L285" i="10"/>
  <c r="L120" i="8"/>
  <c r="L275" i="10"/>
  <c r="L267" i="10"/>
  <c r="L259" i="10"/>
  <c r="L251" i="10"/>
  <c r="L243" i="10"/>
  <c r="L236" i="10"/>
  <c r="L232" i="10"/>
  <c r="L228" i="10"/>
  <c r="L224" i="10"/>
  <c r="L220" i="10"/>
  <c r="L216" i="10"/>
  <c r="L212" i="10"/>
  <c r="L208" i="10"/>
  <c r="L204" i="10"/>
  <c r="L200" i="10"/>
  <c r="L196" i="10"/>
  <c r="L192" i="10"/>
  <c r="L188" i="10"/>
  <c r="L184" i="10"/>
  <c r="L180" i="10"/>
  <c r="L176" i="10"/>
  <c r="L172" i="10"/>
  <c r="L168" i="10"/>
  <c r="L164" i="10"/>
  <c r="L160" i="10"/>
  <c r="L156" i="10"/>
  <c r="L152" i="10"/>
  <c r="L148" i="10"/>
  <c r="L144" i="10"/>
  <c r="L140" i="10"/>
  <c r="L136" i="10"/>
  <c r="L132" i="10"/>
  <c r="L128" i="10"/>
  <c r="L124" i="10"/>
  <c r="L129" i="8"/>
  <c r="L50" i="8"/>
  <c r="L48" i="8"/>
  <c r="L29" i="8"/>
  <c r="L26" i="8"/>
  <c r="L24" i="8"/>
  <c r="L22" i="8"/>
  <c r="L20" i="8"/>
  <c r="L18" i="8"/>
  <c r="L16" i="8"/>
  <c r="L14" i="8"/>
  <c r="L12" i="8"/>
  <c r="L10" i="8"/>
  <c r="L8" i="8"/>
  <c r="L6" i="8"/>
  <c r="L4" i="8"/>
  <c r="L286" i="10"/>
  <c r="L281" i="10"/>
  <c r="L278" i="10"/>
  <c r="L273" i="10"/>
  <c r="L270" i="10"/>
  <c r="L265" i="10"/>
  <c r="L262" i="10"/>
  <c r="L257" i="10"/>
  <c r="L254" i="10"/>
  <c r="L249" i="10"/>
  <c r="L246" i="10"/>
  <c r="L241" i="10"/>
  <c r="L237" i="10"/>
  <c r="L233" i="10"/>
  <c r="L229" i="10"/>
  <c r="L225" i="10"/>
  <c r="L221" i="10"/>
  <c r="L217" i="10"/>
  <c r="L213" i="10"/>
  <c r="L209" i="10"/>
  <c r="L205" i="10"/>
  <c r="L201" i="10"/>
  <c r="L197" i="10"/>
  <c r="L193" i="10"/>
  <c r="L189" i="10"/>
  <c r="L185" i="10"/>
  <c r="L47" i="8"/>
  <c r="L279" i="10"/>
  <c r="L263" i="10"/>
  <c r="L247" i="10"/>
  <c r="L238" i="10"/>
  <c r="L234" i="10"/>
  <c r="L230" i="10"/>
  <c r="L226" i="10"/>
  <c r="L222" i="10"/>
  <c r="L218" i="10"/>
  <c r="L214" i="10"/>
  <c r="L210" i="10"/>
  <c r="L206" i="10"/>
  <c r="L202" i="10"/>
  <c r="L198" i="10"/>
  <c r="L194" i="10"/>
  <c r="L190" i="10"/>
  <c r="L186" i="10"/>
  <c r="L181" i="10"/>
  <c r="L178" i="10"/>
  <c r="L173" i="10"/>
  <c r="L170" i="10"/>
  <c r="L165" i="10"/>
  <c r="L162" i="10"/>
  <c r="L157" i="10"/>
  <c r="L154" i="10"/>
  <c r="L149" i="10"/>
  <c r="L146" i="10"/>
  <c r="L141" i="10"/>
  <c r="L138" i="10"/>
  <c r="L133" i="10"/>
  <c r="L130" i="10"/>
  <c r="L125" i="10"/>
  <c r="L122" i="10"/>
  <c r="L120" i="10"/>
  <c r="L116" i="10"/>
  <c r="L112" i="10"/>
  <c r="L30" i="8"/>
  <c r="L28" i="8"/>
  <c r="L25" i="8"/>
  <c r="L23" i="8"/>
  <c r="L21" i="8"/>
  <c r="L19" i="8"/>
  <c r="L17" i="8"/>
  <c r="L15" i="8"/>
  <c r="L13" i="8"/>
  <c r="L11" i="8"/>
  <c r="L9" i="8"/>
  <c r="L7" i="8"/>
  <c r="L5" i="8"/>
  <c r="L3" i="8"/>
  <c r="L287" i="10"/>
  <c r="L277" i="10"/>
  <c r="L274" i="10"/>
  <c r="L261" i="10"/>
  <c r="L258" i="10"/>
  <c r="L245" i="10"/>
  <c r="L242" i="10"/>
  <c r="L183" i="10"/>
  <c r="L175" i="10"/>
  <c r="L167" i="10"/>
  <c r="L159" i="10"/>
  <c r="L151" i="10"/>
  <c r="L143" i="10"/>
  <c r="L135" i="10"/>
  <c r="L127" i="10"/>
  <c r="L119" i="10"/>
  <c r="L115" i="10"/>
  <c r="L111" i="10"/>
  <c r="L106" i="10"/>
  <c r="L102" i="10"/>
  <c r="L98" i="10"/>
  <c r="L94" i="10"/>
  <c r="L90" i="10"/>
  <c r="L86" i="10"/>
  <c r="L82" i="10"/>
  <c r="L78" i="10"/>
  <c r="L74" i="10"/>
  <c r="L70" i="10"/>
  <c r="L66" i="10"/>
  <c r="L62" i="10"/>
  <c r="L58" i="10"/>
  <c r="L54" i="10"/>
  <c r="L50" i="10"/>
  <c r="L46" i="10"/>
  <c r="L110" i="8"/>
  <c r="L171" i="10"/>
  <c r="L155" i="10"/>
  <c r="L139" i="10"/>
  <c r="L123" i="10"/>
  <c r="L117" i="10"/>
  <c r="L113" i="10"/>
  <c r="L109" i="10"/>
  <c r="L101" i="10"/>
  <c r="L93" i="10"/>
  <c r="L85" i="10"/>
  <c r="L77" i="10"/>
  <c r="L69" i="10"/>
  <c r="L61" i="10"/>
  <c r="L53" i="10"/>
  <c r="L45" i="10"/>
  <c r="L44" i="10"/>
  <c r="L40" i="10"/>
  <c r="L36" i="10"/>
  <c r="L32" i="10"/>
  <c r="L28" i="10"/>
  <c r="L24" i="10"/>
  <c r="L20" i="10"/>
  <c r="L15" i="10"/>
  <c r="L11" i="10"/>
  <c r="L7" i="10"/>
  <c r="L139" i="8"/>
  <c r="L282" i="10"/>
  <c r="L271" i="10"/>
  <c r="L269" i="10"/>
  <c r="L250" i="10"/>
  <c r="L239" i="10"/>
  <c r="L231" i="10"/>
  <c r="L223" i="10"/>
  <c r="L215" i="10"/>
  <c r="L207" i="10"/>
  <c r="L199" i="10"/>
  <c r="L191" i="10"/>
  <c r="L182" i="10"/>
  <c r="L169" i="10"/>
  <c r="L166" i="10"/>
  <c r="L153" i="10"/>
  <c r="L150" i="10"/>
  <c r="L137" i="10"/>
  <c r="L134" i="10"/>
  <c r="L108" i="10"/>
  <c r="L103" i="10"/>
  <c r="L100" i="10"/>
  <c r="L95" i="10"/>
  <c r="L92" i="10"/>
  <c r="L87" i="10"/>
  <c r="L84" i="10"/>
  <c r="L79" i="10"/>
  <c r="L76" i="10"/>
  <c r="L71" i="10"/>
  <c r="L68" i="10"/>
  <c r="L63" i="10"/>
  <c r="L60" i="10"/>
  <c r="L55" i="10"/>
  <c r="L52" i="10"/>
  <c r="L47" i="10"/>
  <c r="L43" i="10"/>
  <c r="L39" i="10"/>
  <c r="L35" i="10"/>
  <c r="L31" i="10"/>
  <c r="L27" i="10"/>
  <c r="L23" i="10"/>
  <c r="L18" i="10"/>
  <c r="L14" i="10"/>
  <c r="L10" i="10"/>
  <c r="L6" i="10"/>
  <c r="E50" i="35"/>
  <c r="I50" i="35"/>
  <c r="K50" i="35"/>
  <c r="L179" i="10"/>
  <c r="L163" i="10"/>
  <c r="L147" i="10"/>
  <c r="L131" i="10"/>
  <c r="L118" i="10"/>
  <c r="L114" i="10"/>
  <c r="L105" i="10"/>
  <c r="L97" i="10"/>
  <c r="L89" i="10"/>
  <c r="L81" i="10"/>
  <c r="L73" i="10"/>
  <c r="L65" i="10"/>
  <c r="L57" i="10"/>
  <c r="L49" i="10"/>
  <c r="L42" i="10"/>
  <c r="L38" i="10"/>
  <c r="L34" i="10"/>
  <c r="L30" i="10"/>
  <c r="L26" i="10"/>
  <c r="L22" i="10"/>
  <c r="L17" i="10"/>
  <c r="L13" i="10"/>
  <c r="L9" i="10"/>
  <c r="L5" i="10"/>
  <c r="L283" i="10"/>
  <c r="L266" i="10"/>
  <c r="L255" i="10"/>
  <c r="L253" i="10"/>
  <c r="L219" i="10"/>
  <c r="L187" i="10"/>
  <c r="L107" i="10"/>
  <c r="L99" i="10"/>
  <c r="L91" i="10"/>
  <c r="L83" i="10"/>
  <c r="L75" i="10"/>
  <c r="L67" i="10"/>
  <c r="L59" i="10"/>
  <c r="L51" i="10"/>
  <c r="L211" i="10"/>
  <c r="L177" i="10"/>
  <c r="L158" i="10"/>
  <c r="L145" i="10"/>
  <c r="L126" i="10"/>
  <c r="L104" i="10"/>
  <c r="L96" i="10"/>
  <c r="L88" i="10"/>
  <c r="L80" i="10"/>
  <c r="L72" i="10"/>
  <c r="L64" i="10"/>
  <c r="L161" i="10"/>
  <c r="L142" i="10"/>
  <c r="L41" i="10"/>
  <c r="L33" i="10"/>
  <c r="L25" i="10"/>
  <c r="L16" i="10"/>
  <c r="L8" i="10"/>
  <c r="K9" i="35"/>
  <c r="L174" i="10"/>
  <c r="L129" i="10"/>
  <c r="L56" i="10"/>
  <c r="L48" i="10"/>
  <c r="L37" i="10"/>
  <c r="L203" i="10"/>
  <c r="L195" i="10"/>
  <c r="E98" i="35"/>
  <c r="I98" i="35"/>
  <c r="K98" i="35"/>
  <c r="I13" i="35"/>
  <c r="K13" i="35"/>
  <c r="E240" i="35"/>
  <c r="I240" i="35"/>
  <c r="K240" i="35"/>
  <c r="E86" i="29"/>
  <c r="I86" i="29"/>
  <c r="K86" i="29"/>
  <c r="W145" i="8"/>
  <c r="W144" i="8"/>
  <c r="W143" i="8"/>
  <c r="W141" i="8"/>
  <c r="W140" i="8"/>
  <c r="E41" i="29"/>
  <c r="I41" i="29"/>
  <c r="K41" i="29"/>
  <c r="E19" i="29"/>
  <c r="I19" i="29"/>
  <c r="K19" i="29"/>
  <c r="E64" i="29"/>
  <c r="I64" i="29"/>
  <c r="K64" i="29"/>
  <c r="W136" i="8"/>
  <c r="W131" i="8"/>
  <c r="W126" i="8"/>
  <c r="W121" i="8"/>
  <c r="W117" i="8"/>
  <c r="W112" i="8"/>
  <c r="W107" i="8"/>
  <c r="W137" i="8"/>
  <c r="W133" i="8"/>
  <c r="W127" i="8"/>
  <c r="W123" i="8"/>
  <c r="W118" i="8"/>
  <c r="W113" i="8"/>
  <c r="W109" i="8"/>
  <c r="W138" i="8"/>
  <c r="W129" i="8"/>
  <c r="W119" i="8"/>
  <c r="W110" i="8"/>
  <c r="W101" i="8"/>
  <c r="W97" i="8"/>
  <c r="W92" i="8"/>
  <c r="W88" i="8"/>
  <c r="W82" i="8"/>
  <c r="W78" i="8"/>
  <c r="W74" i="8"/>
  <c r="W45" i="8"/>
  <c r="W139" i="8"/>
  <c r="W130" i="8"/>
  <c r="W120" i="8"/>
  <c r="W111" i="8"/>
  <c r="W104" i="8"/>
  <c r="W100" i="8"/>
  <c r="W95" i="8"/>
  <c r="W91" i="8"/>
  <c r="W87" i="8"/>
  <c r="W81" i="8"/>
  <c r="W77" i="8"/>
  <c r="W73" i="8"/>
  <c r="W71" i="8"/>
  <c r="W64" i="8"/>
  <c r="W60" i="8"/>
  <c r="W56" i="8"/>
  <c r="W52" i="8"/>
  <c r="W33" i="8"/>
  <c r="W31" i="8"/>
  <c r="S286" i="10"/>
  <c r="S282" i="10"/>
  <c r="S278" i="10"/>
  <c r="S274" i="10"/>
  <c r="S270" i="10"/>
  <c r="S266" i="10"/>
  <c r="S262" i="10"/>
  <c r="S258" i="10"/>
  <c r="S254" i="10"/>
  <c r="S250" i="10"/>
  <c r="S246" i="10"/>
  <c r="S242" i="10"/>
  <c r="W134" i="8"/>
  <c r="W125" i="8"/>
  <c r="W114" i="8"/>
  <c r="W106" i="8"/>
  <c r="W102" i="8"/>
  <c r="W99" i="8"/>
  <c r="W93" i="8"/>
  <c r="W90" i="8"/>
  <c r="W84" i="8"/>
  <c r="W80" i="8"/>
  <c r="W75" i="8"/>
  <c r="W72" i="8"/>
  <c r="W65" i="8"/>
  <c r="W61" i="8"/>
  <c r="W57" i="8"/>
  <c r="W53" i="8"/>
  <c r="W50" i="8"/>
  <c r="W48" i="8"/>
  <c r="W47" i="8"/>
  <c r="W44" i="8"/>
  <c r="W43" i="8"/>
  <c r="W42" i="8"/>
  <c r="W41" i="8"/>
  <c r="W40" i="8"/>
  <c r="W39" i="8"/>
  <c r="W38" i="8"/>
  <c r="W37" i="8"/>
  <c r="W36" i="8"/>
  <c r="W35" i="8"/>
  <c r="W34" i="8"/>
  <c r="W30" i="8"/>
  <c r="S287" i="10"/>
  <c r="S283" i="10"/>
  <c r="W115" i="8"/>
  <c r="W89" i="8"/>
  <c r="W67" i="8"/>
  <c r="W66" i="8"/>
  <c r="W59" i="8"/>
  <c r="W58" i="8"/>
  <c r="W28" i="8"/>
  <c r="W25" i="8"/>
  <c r="W23" i="8"/>
  <c r="W21" i="8"/>
  <c r="W19" i="8"/>
  <c r="W17" i="8"/>
  <c r="W15" i="8"/>
  <c r="W13" i="8"/>
  <c r="W11" i="8"/>
  <c r="W9" i="8"/>
  <c r="W7" i="8"/>
  <c r="W5" i="8"/>
  <c r="W3" i="8"/>
  <c r="S280" i="10"/>
  <c r="S277" i="10"/>
  <c r="S275" i="10"/>
  <c r="S272" i="10"/>
  <c r="S269" i="10"/>
  <c r="S267" i="10"/>
  <c r="S264" i="10"/>
  <c r="S261" i="10"/>
  <c r="S259" i="10"/>
  <c r="S256" i="10"/>
  <c r="S253" i="10"/>
  <c r="S251" i="10"/>
  <c r="S248" i="10"/>
  <c r="S245" i="10"/>
  <c r="S243" i="10"/>
  <c r="S240" i="10"/>
  <c r="S238" i="10"/>
  <c r="S234" i="10"/>
  <c r="S230" i="10"/>
  <c r="S226" i="10"/>
  <c r="S222" i="10"/>
  <c r="S218" i="10"/>
  <c r="S214" i="10"/>
  <c r="S210" i="10"/>
  <c r="S206" i="10"/>
  <c r="S202" i="10"/>
  <c r="S198" i="10"/>
  <c r="S194" i="10"/>
  <c r="S190" i="10"/>
  <c r="S186" i="10"/>
  <c r="S182" i="10"/>
  <c r="S178" i="10"/>
  <c r="S174" i="10"/>
  <c r="S170" i="10"/>
  <c r="S166" i="10"/>
  <c r="S162" i="10"/>
  <c r="S158" i="10"/>
  <c r="S154" i="10"/>
  <c r="S150" i="10"/>
  <c r="S146" i="10"/>
  <c r="S142" i="10"/>
  <c r="S138" i="10"/>
  <c r="S134" i="10"/>
  <c r="S130" i="10"/>
  <c r="S126" i="10"/>
  <c r="S122" i="10"/>
  <c r="W124" i="8"/>
  <c r="W94" i="8"/>
  <c r="W76" i="8"/>
  <c r="W69" i="8"/>
  <c r="S235" i="10"/>
  <c r="S231" i="10"/>
  <c r="S227" i="10"/>
  <c r="S223" i="10"/>
  <c r="S219" i="10"/>
  <c r="S215" i="10"/>
  <c r="S211" i="10"/>
  <c r="S207" i="10"/>
  <c r="S203" i="10"/>
  <c r="S199" i="10"/>
  <c r="S195" i="10"/>
  <c r="S191" i="10"/>
  <c r="S187" i="10"/>
  <c r="W135" i="8"/>
  <c r="W98" i="8"/>
  <c r="W63" i="8"/>
  <c r="W62" i="8"/>
  <c r="W29" i="8"/>
  <c r="W26" i="8"/>
  <c r="W24" i="8"/>
  <c r="W22" i="8"/>
  <c r="W20" i="8"/>
  <c r="W18" i="8"/>
  <c r="W16" i="8"/>
  <c r="W14" i="8"/>
  <c r="W12" i="8"/>
  <c r="W10" i="8"/>
  <c r="W8" i="8"/>
  <c r="W6" i="8"/>
  <c r="W4" i="8"/>
  <c r="S284" i="10"/>
  <c r="S271" i="10"/>
  <c r="S255" i="10"/>
  <c r="S239" i="10"/>
  <c r="S118" i="10"/>
  <c r="S114" i="10"/>
  <c r="W103" i="8"/>
  <c r="W70" i="8"/>
  <c r="S281" i="10"/>
  <c r="S268" i="10"/>
  <c r="S265" i="10"/>
  <c r="S252" i="10"/>
  <c r="S249" i="10"/>
  <c r="S183" i="10"/>
  <c r="S180" i="10"/>
  <c r="S177" i="10"/>
  <c r="S175" i="10"/>
  <c r="S172" i="10"/>
  <c r="S169" i="10"/>
  <c r="S167" i="10"/>
  <c r="S164" i="10"/>
  <c r="S161" i="10"/>
  <c r="S159" i="10"/>
  <c r="S156" i="10"/>
  <c r="S153" i="10"/>
  <c r="S151" i="10"/>
  <c r="S148" i="10"/>
  <c r="S145" i="10"/>
  <c r="S143" i="10"/>
  <c r="S140" i="10"/>
  <c r="S137" i="10"/>
  <c r="S135" i="10"/>
  <c r="S132" i="10"/>
  <c r="S129" i="10"/>
  <c r="S127" i="10"/>
  <c r="S124" i="10"/>
  <c r="S117" i="10"/>
  <c r="S113" i="10"/>
  <c r="S108" i="10"/>
  <c r="S104" i="10"/>
  <c r="S100" i="10"/>
  <c r="S96" i="10"/>
  <c r="S92" i="10"/>
  <c r="S88" i="10"/>
  <c r="S84" i="10"/>
  <c r="S80" i="10"/>
  <c r="S76" i="10"/>
  <c r="S72" i="10"/>
  <c r="S68" i="10"/>
  <c r="S64" i="10"/>
  <c r="S60" i="10"/>
  <c r="S56" i="10"/>
  <c r="S52" i="10"/>
  <c r="S48" i="10"/>
  <c r="W54" i="8"/>
  <c r="S263" i="10"/>
  <c r="S257" i="10"/>
  <c r="S236" i="10"/>
  <c r="S233" i="10"/>
  <c r="S228" i="10"/>
  <c r="S225" i="10"/>
  <c r="S220" i="10"/>
  <c r="S217" i="10"/>
  <c r="S212" i="10"/>
  <c r="S209" i="10"/>
  <c r="S204" i="10"/>
  <c r="S201" i="10"/>
  <c r="S196" i="10"/>
  <c r="S193" i="10"/>
  <c r="S188" i="10"/>
  <c r="S185" i="10"/>
  <c r="S179" i="10"/>
  <c r="S163" i="10"/>
  <c r="S147" i="10"/>
  <c r="S131" i="10"/>
  <c r="S109" i="10"/>
  <c r="S106" i="10"/>
  <c r="S103" i="10"/>
  <c r="S101" i="10"/>
  <c r="S98" i="10"/>
  <c r="S95" i="10"/>
  <c r="S93" i="10"/>
  <c r="S90" i="10"/>
  <c r="S87" i="10"/>
  <c r="S85" i="10"/>
  <c r="S82" i="10"/>
  <c r="S79" i="10"/>
  <c r="S77" i="10"/>
  <c r="S74" i="10"/>
  <c r="S71" i="10"/>
  <c r="S69" i="10"/>
  <c r="S66" i="10"/>
  <c r="S63" i="10"/>
  <c r="S61" i="10"/>
  <c r="S58" i="10"/>
  <c r="S55" i="10"/>
  <c r="S53" i="10"/>
  <c r="S50" i="10"/>
  <c r="S47" i="10"/>
  <c r="S45" i="10"/>
  <c r="S42" i="10"/>
  <c r="S38" i="10"/>
  <c r="S34" i="10"/>
  <c r="S30" i="10"/>
  <c r="S26" i="10"/>
  <c r="S22" i="10"/>
  <c r="S17" i="10"/>
  <c r="S13" i="10"/>
  <c r="S9" i="10"/>
  <c r="S5" i="10"/>
  <c r="W105" i="8"/>
  <c r="W55" i="8"/>
  <c r="S285" i="10"/>
  <c r="S260" i="10"/>
  <c r="S176" i="10"/>
  <c r="S173" i="10"/>
  <c r="S160" i="10"/>
  <c r="S157" i="10"/>
  <c r="S144" i="10"/>
  <c r="S141" i="10"/>
  <c r="S128" i="10"/>
  <c r="S125" i="10"/>
  <c r="S41" i="10"/>
  <c r="S37" i="10"/>
  <c r="S33" i="10"/>
  <c r="S29" i="10"/>
  <c r="S25" i="10"/>
  <c r="S21" i="10"/>
  <c r="S16" i="10"/>
  <c r="S12" i="10"/>
  <c r="S8" i="10"/>
  <c r="S4" i="10"/>
  <c r="E63" i="35"/>
  <c r="I63" i="35"/>
  <c r="K63" i="35"/>
  <c r="W79" i="8"/>
  <c r="S279" i="10"/>
  <c r="S273" i="10"/>
  <c r="S247" i="10"/>
  <c r="S241" i="10"/>
  <c r="S237" i="10"/>
  <c r="S232" i="10"/>
  <c r="S229" i="10"/>
  <c r="S224" i="10"/>
  <c r="S221" i="10"/>
  <c r="S216" i="10"/>
  <c r="S213" i="10"/>
  <c r="S208" i="10"/>
  <c r="S205" i="10"/>
  <c r="S200" i="10"/>
  <c r="S197" i="10"/>
  <c r="S192" i="10"/>
  <c r="S189" i="10"/>
  <c r="S171" i="10"/>
  <c r="S155" i="10"/>
  <c r="S139" i="10"/>
  <c r="S123" i="10"/>
  <c r="S119" i="10"/>
  <c r="S115" i="10"/>
  <c r="S111" i="10"/>
  <c r="S107" i="10"/>
  <c r="S105" i="10"/>
  <c r="S102" i="10"/>
  <c r="S99" i="10"/>
  <c r="S97" i="10"/>
  <c r="S94" i="10"/>
  <c r="S91" i="10"/>
  <c r="S89" i="10"/>
  <c r="S86" i="10"/>
  <c r="S83" i="10"/>
  <c r="S81" i="10"/>
  <c r="S78" i="10"/>
  <c r="S75" i="10"/>
  <c r="S73" i="10"/>
  <c r="S70" i="10"/>
  <c r="S67" i="10"/>
  <c r="S65" i="10"/>
  <c r="S62" i="10"/>
  <c r="S59" i="10"/>
  <c r="S57" i="10"/>
  <c r="S54" i="10"/>
  <c r="S51" i="10"/>
  <c r="S49" i="10"/>
  <c r="S46" i="10"/>
  <c r="S44" i="10"/>
  <c r="S40" i="10"/>
  <c r="S36" i="10"/>
  <c r="S32" i="10"/>
  <c r="S28" i="10"/>
  <c r="S24" i="10"/>
  <c r="S20" i="10"/>
  <c r="S15" i="10"/>
  <c r="S11" i="10"/>
  <c r="S7" i="10"/>
  <c r="E84" i="35"/>
  <c r="I84" i="35"/>
  <c r="K84" i="35"/>
  <c r="S184" i="10"/>
  <c r="S181" i="10"/>
  <c r="S152" i="10"/>
  <c r="S149" i="10"/>
  <c r="S120" i="10"/>
  <c r="W85" i="8"/>
  <c r="S244" i="10"/>
  <c r="S39" i="10"/>
  <c r="S31" i="10"/>
  <c r="S23" i="10"/>
  <c r="S14" i="10"/>
  <c r="S6" i="10"/>
  <c r="S276" i="10"/>
  <c r="S43" i="10"/>
  <c r="S35" i="10"/>
  <c r="S136" i="10"/>
  <c r="S133" i="10"/>
  <c r="S112" i="10"/>
  <c r="E88" i="29"/>
  <c r="I88" i="29"/>
  <c r="K88" i="29"/>
  <c r="E21" i="29"/>
  <c r="I21" i="29"/>
  <c r="K21" i="29"/>
  <c r="E66" i="29"/>
  <c r="I66" i="29"/>
  <c r="K66" i="29"/>
  <c r="E43" i="29"/>
  <c r="I43" i="29"/>
  <c r="K43" i="29"/>
  <c r="U284" i="10"/>
  <c r="U280" i="10"/>
  <c r="U276" i="10"/>
  <c r="U272" i="10"/>
  <c r="U268" i="10"/>
  <c r="U264" i="10"/>
  <c r="U260" i="10"/>
  <c r="U256" i="10"/>
  <c r="U252" i="10"/>
  <c r="U248" i="10"/>
  <c r="U244" i="10"/>
  <c r="U240" i="10"/>
  <c r="U285" i="10"/>
  <c r="U279" i="10"/>
  <c r="U271" i="10"/>
  <c r="U263" i="10"/>
  <c r="U255" i="10"/>
  <c r="U247" i="10"/>
  <c r="U239" i="10"/>
  <c r="U236" i="10"/>
  <c r="U232" i="10"/>
  <c r="U228" i="10"/>
  <c r="U224" i="10"/>
  <c r="U220" i="10"/>
  <c r="U216" i="10"/>
  <c r="U212" i="10"/>
  <c r="U208" i="10"/>
  <c r="U204" i="10"/>
  <c r="U200" i="10"/>
  <c r="U196" i="10"/>
  <c r="U192" i="10"/>
  <c r="U188" i="10"/>
  <c r="U184" i="10"/>
  <c r="U180" i="10"/>
  <c r="U176" i="10"/>
  <c r="U172" i="10"/>
  <c r="U168" i="10"/>
  <c r="U164" i="10"/>
  <c r="U160" i="10"/>
  <c r="U156" i="10"/>
  <c r="U152" i="10"/>
  <c r="U148" i="10"/>
  <c r="U144" i="10"/>
  <c r="U140" i="10"/>
  <c r="U136" i="10"/>
  <c r="U132" i="10"/>
  <c r="U128" i="10"/>
  <c r="U124" i="10"/>
  <c r="U286" i="10"/>
  <c r="U282" i="10"/>
  <c r="U277" i="10"/>
  <c r="U274" i="10"/>
  <c r="U269" i="10"/>
  <c r="U266" i="10"/>
  <c r="U261" i="10"/>
  <c r="U258" i="10"/>
  <c r="U253" i="10"/>
  <c r="U250" i="10"/>
  <c r="U245" i="10"/>
  <c r="U242" i="10"/>
  <c r="U237" i="10"/>
  <c r="U233" i="10"/>
  <c r="U229" i="10"/>
  <c r="U225" i="10"/>
  <c r="U221" i="10"/>
  <c r="U217" i="10"/>
  <c r="U213" i="10"/>
  <c r="U209" i="10"/>
  <c r="U205" i="10"/>
  <c r="U201" i="10"/>
  <c r="U197" i="10"/>
  <c r="U193" i="10"/>
  <c r="U189" i="10"/>
  <c r="U185" i="10"/>
  <c r="U281" i="10"/>
  <c r="U265" i="10"/>
  <c r="U249" i="10"/>
  <c r="U238" i="10"/>
  <c r="U234" i="10"/>
  <c r="U230" i="10"/>
  <c r="U226" i="10"/>
  <c r="U222" i="10"/>
  <c r="U218" i="10"/>
  <c r="U214" i="10"/>
  <c r="U210" i="10"/>
  <c r="U206" i="10"/>
  <c r="U202" i="10"/>
  <c r="U198" i="10"/>
  <c r="U194" i="10"/>
  <c r="U190" i="10"/>
  <c r="U186" i="10"/>
  <c r="U182" i="10"/>
  <c r="U177" i="10"/>
  <c r="U174" i="10"/>
  <c r="U169" i="10"/>
  <c r="U166" i="10"/>
  <c r="U161" i="10"/>
  <c r="U158" i="10"/>
  <c r="U153" i="10"/>
  <c r="U150" i="10"/>
  <c r="U145" i="10"/>
  <c r="U142" i="10"/>
  <c r="U137" i="10"/>
  <c r="U134" i="10"/>
  <c r="U129" i="10"/>
  <c r="U126" i="10"/>
  <c r="U120" i="10"/>
  <c r="U116" i="10"/>
  <c r="U112" i="10"/>
  <c r="U283" i="10"/>
  <c r="U278" i="10"/>
  <c r="U267" i="10"/>
  <c r="U262" i="10"/>
  <c r="U251" i="10"/>
  <c r="U246" i="10"/>
  <c r="U179" i="10"/>
  <c r="U171" i="10"/>
  <c r="U163" i="10"/>
  <c r="U155" i="10"/>
  <c r="U147" i="10"/>
  <c r="U139" i="10"/>
  <c r="U131" i="10"/>
  <c r="U123" i="10"/>
  <c r="U119" i="10"/>
  <c r="U115" i="10"/>
  <c r="U111" i="10"/>
  <c r="U106" i="10"/>
  <c r="U102" i="10"/>
  <c r="U98" i="10"/>
  <c r="U94" i="10"/>
  <c r="U90" i="10"/>
  <c r="U86" i="10"/>
  <c r="U82" i="10"/>
  <c r="U78" i="10"/>
  <c r="U74" i="10"/>
  <c r="U70" i="10"/>
  <c r="U66" i="10"/>
  <c r="U62" i="10"/>
  <c r="U58" i="10"/>
  <c r="U54" i="10"/>
  <c r="U50" i="10"/>
  <c r="U46" i="10"/>
  <c r="U275" i="10"/>
  <c r="U254" i="10"/>
  <c r="U243" i="10"/>
  <c r="U173" i="10"/>
  <c r="U157" i="10"/>
  <c r="U141" i="10"/>
  <c r="U125" i="10"/>
  <c r="U117" i="10"/>
  <c r="U113" i="10"/>
  <c r="U105" i="10"/>
  <c r="U97" i="10"/>
  <c r="U89" i="10"/>
  <c r="U81" i="10"/>
  <c r="U73" i="10"/>
  <c r="U65" i="10"/>
  <c r="U57" i="10"/>
  <c r="U49" i="10"/>
  <c r="U44" i="10"/>
  <c r="U40" i="10"/>
  <c r="U36" i="10"/>
  <c r="U32" i="10"/>
  <c r="U28" i="10"/>
  <c r="U24" i="10"/>
  <c r="U20" i="10"/>
  <c r="U15" i="10"/>
  <c r="U11" i="10"/>
  <c r="U7" i="10"/>
  <c r="U273" i="10"/>
  <c r="U241" i="10"/>
  <c r="U235" i="10"/>
  <c r="U227" i="10"/>
  <c r="U219" i="10"/>
  <c r="U211" i="10"/>
  <c r="U203" i="10"/>
  <c r="U195" i="10"/>
  <c r="U187" i="10"/>
  <c r="U175" i="10"/>
  <c r="U170" i="10"/>
  <c r="U159" i="10"/>
  <c r="U154" i="10"/>
  <c r="U143" i="10"/>
  <c r="U138" i="10"/>
  <c r="U127" i="10"/>
  <c r="U122" i="10"/>
  <c r="U107" i="10"/>
  <c r="U104" i="10"/>
  <c r="U99" i="10"/>
  <c r="U96" i="10"/>
  <c r="U91" i="10"/>
  <c r="U88" i="10"/>
  <c r="U83" i="10"/>
  <c r="U80" i="10"/>
  <c r="U75" i="10"/>
  <c r="U72" i="10"/>
  <c r="U67" i="10"/>
  <c r="U64" i="10"/>
  <c r="U59" i="10"/>
  <c r="U56" i="10"/>
  <c r="U51" i="10"/>
  <c r="U48" i="10"/>
  <c r="U43" i="10"/>
  <c r="U39" i="10"/>
  <c r="U35" i="10"/>
  <c r="U31" i="10"/>
  <c r="U27" i="10"/>
  <c r="U23" i="10"/>
  <c r="U18" i="10"/>
  <c r="U14" i="10"/>
  <c r="U10" i="10"/>
  <c r="U6" i="10"/>
  <c r="E107" i="35"/>
  <c r="I107" i="35"/>
  <c r="K107" i="35"/>
  <c r="U270" i="10"/>
  <c r="U259" i="10"/>
  <c r="U181" i="10"/>
  <c r="U165" i="10"/>
  <c r="U149" i="10"/>
  <c r="U133" i="10"/>
  <c r="U118" i="10"/>
  <c r="U114" i="10"/>
  <c r="U109" i="10"/>
  <c r="U101" i="10"/>
  <c r="U93" i="10"/>
  <c r="U85" i="10"/>
  <c r="U77" i="10"/>
  <c r="U69" i="10"/>
  <c r="U61" i="10"/>
  <c r="U53" i="10"/>
  <c r="U45" i="10"/>
  <c r="U42" i="10"/>
  <c r="U38" i="10"/>
  <c r="U34" i="10"/>
  <c r="U30" i="10"/>
  <c r="U26" i="10"/>
  <c r="U22" i="10"/>
  <c r="U17" i="10"/>
  <c r="U13" i="10"/>
  <c r="U9" i="10"/>
  <c r="U5" i="10"/>
  <c r="E86" i="35"/>
  <c r="I86" i="35"/>
  <c r="K86" i="35"/>
  <c r="U215" i="10"/>
  <c r="U183" i="10"/>
  <c r="U178" i="10"/>
  <c r="U151" i="10"/>
  <c r="U146" i="10"/>
  <c r="U287" i="10"/>
  <c r="U257" i="10"/>
  <c r="U207" i="10"/>
  <c r="U108" i="10"/>
  <c r="U103" i="10"/>
  <c r="U100" i="10"/>
  <c r="U95" i="10"/>
  <c r="U92" i="10"/>
  <c r="U87" i="10"/>
  <c r="U84" i="10"/>
  <c r="U79" i="10"/>
  <c r="U76" i="10"/>
  <c r="U71" i="10"/>
  <c r="U68" i="10"/>
  <c r="U63" i="10"/>
  <c r="U37" i="10"/>
  <c r="U29" i="10"/>
  <c r="U21" i="10"/>
  <c r="U12" i="10"/>
  <c r="U4" i="10"/>
  <c r="U55" i="10"/>
  <c r="U47" i="10"/>
  <c r="U41" i="10"/>
  <c r="U199" i="10"/>
  <c r="U191" i="10"/>
  <c r="U135" i="10"/>
  <c r="U130" i="10"/>
  <c r="U52" i="10"/>
  <c r="U60" i="10"/>
  <c r="E37" i="35"/>
  <c r="I37" i="35"/>
  <c r="K37" i="35"/>
  <c r="U25" i="10"/>
  <c r="U223" i="10"/>
  <c r="V225" i="10"/>
  <c r="L227" i="10"/>
  <c r="U231" i="10"/>
  <c r="V233" i="10"/>
  <c r="S11" i="8"/>
  <c r="I16" i="34"/>
  <c r="K16" i="34"/>
  <c r="L17" i="34"/>
  <c r="K17" i="35"/>
  <c r="K18" i="35"/>
  <c r="K19" i="35"/>
  <c r="K20" i="35"/>
  <c r="K21" i="35"/>
  <c r="E36" i="35"/>
  <c r="I36" i="35"/>
  <c r="K36" i="35"/>
  <c r="E178" i="35"/>
  <c r="I178" i="35"/>
  <c r="K178" i="35"/>
  <c r="L181" i="35"/>
  <c r="K58" i="35"/>
  <c r="E65" i="35"/>
  <c r="I65" i="35"/>
  <c r="K65" i="35"/>
  <c r="E236" i="35"/>
  <c r="I236" i="35"/>
  <c r="K236" i="35"/>
  <c r="L4" i="10"/>
  <c r="S10" i="10"/>
  <c r="V20" i="10"/>
  <c r="L21" i="10"/>
  <c r="S27" i="10"/>
  <c r="T30" i="10"/>
  <c r="U33" i="10"/>
  <c r="X34" i="10"/>
  <c r="X42" i="10"/>
  <c r="X104" i="10"/>
  <c r="X142" i="10"/>
  <c r="S19" i="8"/>
  <c r="E239" i="35"/>
  <c r="I239" i="35"/>
  <c r="K239" i="35"/>
  <c r="E14" i="35"/>
  <c r="I12" i="35"/>
  <c r="E39" i="35"/>
  <c r="I39" i="35"/>
  <c r="K39" i="35"/>
  <c r="E77" i="35"/>
  <c r="I77" i="35"/>
  <c r="K77" i="35"/>
  <c r="E83" i="35"/>
  <c r="I83" i="35"/>
  <c r="K83" i="35"/>
  <c r="F208" i="35"/>
  <c r="F229" i="35"/>
  <c r="E242" i="35"/>
  <c r="I242" i="35"/>
  <c r="K242" i="35"/>
  <c r="I15" i="35"/>
  <c r="E38" i="35"/>
  <c r="I38" i="35"/>
  <c r="K38" i="35"/>
  <c r="I59" i="35"/>
  <c r="K59" i="35"/>
  <c r="J94" i="35"/>
  <c r="K92" i="35"/>
  <c r="T5" i="10"/>
  <c r="V11" i="10"/>
  <c r="L12" i="10"/>
  <c r="S18" i="10"/>
  <c r="T22" i="10"/>
  <c r="V28" i="10"/>
  <c r="L29" i="10"/>
  <c r="X72" i="10"/>
  <c r="U162" i="10"/>
  <c r="T163" i="10"/>
  <c r="V164" i="10"/>
  <c r="S165" i="10"/>
  <c r="U167" i="10"/>
  <c r="S168" i="10"/>
  <c r="S3" i="8"/>
  <c r="I246" i="35"/>
  <c r="K246" i="35"/>
  <c r="I194" i="35"/>
  <c r="K194" i="35"/>
  <c r="I220" i="35"/>
  <c r="K220" i="35"/>
  <c r="I228" i="35"/>
  <c r="K228" i="35"/>
  <c r="W10" i="10"/>
  <c r="W18" i="10"/>
  <c r="W27" i="10"/>
  <c r="W35" i="10"/>
  <c r="W43" i="10"/>
  <c r="W62" i="10"/>
  <c r="W78" i="10"/>
  <c r="W94" i="10"/>
  <c r="G21" i="34"/>
  <c r="I20" i="34"/>
  <c r="K20" i="34"/>
  <c r="G55" i="29"/>
  <c r="I55" i="29"/>
  <c r="K55" i="29"/>
  <c r="G56" i="29"/>
  <c r="I56" i="29"/>
  <c r="K56" i="29"/>
  <c r="G25" i="34"/>
  <c r="I25" i="34"/>
  <c r="K25" i="34"/>
  <c r="L27" i="34"/>
  <c r="E8" i="35"/>
  <c r="I3" i="35"/>
  <c r="E90" i="29"/>
  <c r="I90" i="29"/>
  <c r="K90" i="29"/>
  <c r="E45" i="29"/>
  <c r="I45" i="29"/>
  <c r="K45" i="29"/>
  <c r="E23" i="29"/>
  <c r="I23" i="29"/>
  <c r="K23" i="29"/>
  <c r="Z145" i="8"/>
  <c r="Z144" i="8"/>
  <c r="Z143" i="8"/>
  <c r="Z141" i="8"/>
  <c r="Z140" i="8"/>
  <c r="Z139" i="8"/>
  <c r="Z138" i="8"/>
  <c r="Z137" i="8"/>
  <c r="Z136" i="8"/>
  <c r="Z135" i="8"/>
  <c r="Z134" i="8"/>
  <c r="Z133" i="8"/>
  <c r="Z131" i="8"/>
  <c r="Z130" i="8"/>
  <c r="Z129" i="8"/>
  <c r="Z127" i="8"/>
  <c r="Z126" i="8"/>
  <c r="Z125" i="8"/>
  <c r="Z124" i="8"/>
  <c r="Z123" i="8"/>
  <c r="Z121" i="8"/>
  <c r="Z120" i="8"/>
  <c r="Z119" i="8"/>
  <c r="Z118" i="8"/>
  <c r="Z117" i="8"/>
  <c r="Z115" i="8"/>
  <c r="Z114" i="8"/>
  <c r="Z113" i="8"/>
  <c r="Z112" i="8"/>
  <c r="Z111" i="8"/>
  <c r="Z110" i="8"/>
  <c r="Z109" i="8"/>
  <c r="Z107" i="8"/>
  <c r="Z106" i="8"/>
  <c r="Z105" i="8"/>
  <c r="E68" i="29"/>
  <c r="I68" i="29"/>
  <c r="K68" i="29"/>
  <c r="Z102" i="8"/>
  <c r="Z98" i="8"/>
  <c r="Z93" i="8"/>
  <c r="Z89" i="8"/>
  <c r="Z84" i="8"/>
  <c r="Z79" i="8"/>
  <c r="Z75" i="8"/>
  <c r="Z71" i="8"/>
  <c r="Z70" i="8"/>
  <c r="Z69" i="8"/>
  <c r="Z67" i="8"/>
  <c r="Z66" i="8"/>
  <c r="Z65" i="8"/>
  <c r="Z64" i="8"/>
  <c r="Z63" i="8"/>
  <c r="Z62" i="8"/>
  <c r="Z61" i="8"/>
  <c r="Z60" i="8"/>
  <c r="Z59" i="8"/>
  <c r="Z58" i="8"/>
  <c r="Z57" i="8"/>
  <c r="Z56" i="8"/>
  <c r="Z55" i="8"/>
  <c r="Z54" i="8"/>
  <c r="Z53" i="8"/>
  <c r="Z52" i="8"/>
  <c r="Z48" i="8"/>
  <c r="Z31" i="8"/>
  <c r="Z30" i="8"/>
  <c r="Z101" i="8"/>
  <c r="Z97" i="8"/>
  <c r="Z92" i="8"/>
  <c r="Z88" i="8"/>
  <c r="Z82" i="8"/>
  <c r="Z78" i="8"/>
  <c r="Z74" i="8"/>
  <c r="Z103" i="8"/>
  <c r="Z94" i="8"/>
  <c r="Z85" i="8"/>
  <c r="Z76" i="8"/>
  <c r="W286" i="10"/>
  <c r="W282" i="10"/>
  <c r="W278" i="10"/>
  <c r="W274" i="10"/>
  <c r="W270" i="10"/>
  <c r="W266" i="10"/>
  <c r="W262" i="10"/>
  <c r="W258" i="10"/>
  <c r="W254" i="10"/>
  <c r="W250" i="10"/>
  <c r="W246" i="10"/>
  <c r="W242" i="10"/>
  <c r="Z100" i="8"/>
  <c r="Z91" i="8"/>
  <c r="Z81" i="8"/>
  <c r="Z73" i="8"/>
  <c r="Z29" i="8"/>
  <c r="Z28" i="8"/>
  <c r="Z26" i="8"/>
  <c r="Z25" i="8"/>
  <c r="Z24" i="8"/>
  <c r="Z23" i="8"/>
  <c r="Z22" i="8"/>
  <c r="Z21" i="8"/>
  <c r="Z20" i="8"/>
  <c r="Z19" i="8"/>
  <c r="Z18" i="8"/>
  <c r="Z17" i="8"/>
  <c r="Z16" i="8"/>
  <c r="Z15" i="8"/>
  <c r="Z14" i="8"/>
  <c r="Z13" i="8"/>
  <c r="Z12" i="8"/>
  <c r="Z11" i="8"/>
  <c r="Z10" i="8"/>
  <c r="Z9" i="8"/>
  <c r="Z8" i="8"/>
  <c r="Z7" i="8"/>
  <c r="Z6" i="8"/>
  <c r="Z5" i="8"/>
  <c r="Z4" i="8"/>
  <c r="Z3" i="8"/>
  <c r="W287" i="10"/>
  <c r="W283" i="10"/>
  <c r="Z104" i="8"/>
  <c r="Z87" i="8"/>
  <c r="Z50" i="8"/>
  <c r="Z45" i="8"/>
  <c r="Z33" i="8"/>
  <c r="W285" i="10"/>
  <c r="W238" i="10"/>
  <c r="W234" i="10"/>
  <c r="W230" i="10"/>
  <c r="W226" i="10"/>
  <c r="W222" i="10"/>
  <c r="W218" i="10"/>
  <c r="W214" i="10"/>
  <c r="W210" i="10"/>
  <c r="W206" i="10"/>
  <c r="W202" i="10"/>
  <c r="W198" i="10"/>
  <c r="W194" i="10"/>
  <c r="W190" i="10"/>
  <c r="W186" i="10"/>
  <c r="W182" i="10"/>
  <c r="W178" i="10"/>
  <c r="W174" i="10"/>
  <c r="W170" i="10"/>
  <c r="W166" i="10"/>
  <c r="W162" i="10"/>
  <c r="W158" i="10"/>
  <c r="W154" i="10"/>
  <c r="W150" i="10"/>
  <c r="W146" i="10"/>
  <c r="W142" i="10"/>
  <c r="W138" i="10"/>
  <c r="W134" i="10"/>
  <c r="W130" i="10"/>
  <c r="W126" i="10"/>
  <c r="W122" i="10"/>
  <c r="Z99" i="8"/>
  <c r="Z80" i="8"/>
  <c r="Z44" i="8"/>
  <c r="Z43" i="8"/>
  <c r="Z42" i="8"/>
  <c r="Z41" i="8"/>
  <c r="Z40" i="8"/>
  <c r="Z39" i="8"/>
  <c r="Z38" i="8"/>
  <c r="Z37" i="8"/>
  <c r="Z36" i="8"/>
  <c r="Z35" i="8"/>
  <c r="Z34" i="8"/>
  <c r="W284" i="10"/>
  <c r="W281" i="10"/>
  <c r="W279" i="10"/>
  <c r="W276" i="10"/>
  <c r="W273" i="10"/>
  <c r="W271" i="10"/>
  <c r="W268" i="10"/>
  <c r="W265" i="10"/>
  <c r="W263" i="10"/>
  <c r="W260" i="10"/>
  <c r="W257" i="10"/>
  <c r="W255" i="10"/>
  <c r="W252" i="10"/>
  <c r="W249" i="10"/>
  <c r="W247" i="10"/>
  <c r="W244" i="10"/>
  <c r="W241" i="10"/>
  <c r="W239" i="10"/>
  <c r="W235" i="10"/>
  <c r="W231" i="10"/>
  <c r="W227" i="10"/>
  <c r="W223" i="10"/>
  <c r="W219" i="10"/>
  <c r="W215" i="10"/>
  <c r="W211" i="10"/>
  <c r="W207" i="10"/>
  <c r="W203" i="10"/>
  <c r="W199" i="10"/>
  <c r="W195" i="10"/>
  <c r="W191" i="10"/>
  <c r="W187" i="10"/>
  <c r="Z77" i="8"/>
  <c r="Z47" i="8"/>
  <c r="W280" i="10"/>
  <c r="W267" i="10"/>
  <c r="W264" i="10"/>
  <c r="W251" i="10"/>
  <c r="W248" i="10"/>
  <c r="W236" i="10"/>
  <c r="W232" i="10"/>
  <c r="W228" i="10"/>
  <c r="W224" i="10"/>
  <c r="W220" i="10"/>
  <c r="W216" i="10"/>
  <c r="W212" i="10"/>
  <c r="W208" i="10"/>
  <c r="W204" i="10"/>
  <c r="W200" i="10"/>
  <c r="W196" i="10"/>
  <c r="W192" i="10"/>
  <c r="W188" i="10"/>
  <c r="W184" i="10"/>
  <c r="W181" i="10"/>
  <c r="W179" i="10"/>
  <c r="W176" i="10"/>
  <c r="W173" i="10"/>
  <c r="W171" i="10"/>
  <c r="W168" i="10"/>
  <c r="W165" i="10"/>
  <c r="W163" i="10"/>
  <c r="W160" i="10"/>
  <c r="W157" i="10"/>
  <c r="W155" i="10"/>
  <c r="W152" i="10"/>
  <c r="W149" i="10"/>
  <c r="W147" i="10"/>
  <c r="W144" i="10"/>
  <c r="W141" i="10"/>
  <c r="W139" i="10"/>
  <c r="W136" i="10"/>
  <c r="W133" i="10"/>
  <c r="W131" i="10"/>
  <c r="W128" i="10"/>
  <c r="W125" i="10"/>
  <c r="W123" i="10"/>
  <c r="W118" i="10"/>
  <c r="W114" i="10"/>
  <c r="Z72" i="8"/>
  <c r="W277" i="10"/>
  <c r="W261" i="10"/>
  <c r="W245" i="10"/>
  <c r="W237" i="10"/>
  <c r="W233" i="10"/>
  <c r="W229" i="10"/>
  <c r="W225" i="10"/>
  <c r="W221" i="10"/>
  <c r="W217" i="10"/>
  <c r="W213" i="10"/>
  <c r="W209" i="10"/>
  <c r="W205" i="10"/>
  <c r="W201" i="10"/>
  <c r="W197" i="10"/>
  <c r="W193" i="10"/>
  <c r="W189" i="10"/>
  <c r="W185" i="10"/>
  <c r="W117" i="10"/>
  <c r="W113" i="10"/>
  <c r="W108" i="10"/>
  <c r="W104" i="10"/>
  <c r="W100" i="10"/>
  <c r="W96" i="10"/>
  <c r="W92" i="10"/>
  <c r="W88" i="10"/>
  <c r="W84" i="10"/>
  <c r="W80" i="10"/>
  <c r="W76" i="10"/>
  <c r="W72" i="10"/>
  <c r="W68" i="10"/>
  <c r="W64" i="10"/>
  <c r="W60" i="10"/>
  <c r="W56" i="10"/>
  <c r="W52" i="10"/>
  <c r="W48" i="10"/>
  <c r="W256" i="10"/>
  <c r="W175" i="10"/>
  <c r="W172" i="10"/>
  <c r="W159" i="10"/>
  <c r="W156" i="10"/>
  <c r="W143" i="10"/>
  <c r="W140" i="10"/>
  <c r="W127" i="10"/>
  <c r="W124" i="10"/>
  <c r="W119" i="10"/>
  <c r="W115" i="10"/>
  <c r="W111" i="10"/>
  <c r="W42" i="10"/>
  <c r="W38" i="10"/>
  <c r="W34" i="10"/>
  <c r="W30" i="10"/>
  <c r="W26" i="10"/>
  <c r="W22" i="10"/>
  <c r="W17" i="10"/>
  <c r="W13" i="10"/>
  <c r="W9" i="10"/>
  <c r="W5" i="10"/>
  <c r="Z90" i="8"/>
  <c r="W259" i="10"/>
  <c r="W253" i="10"/>
  <c r="W169" i="10"/>
  <c r="W153" i="10"/>
  <c r="W137" i="10"/>
  <c r="W120" i="10"/>
  <c r="W116" i="10"/>
  <c r="W112" i="10"/>
  <c r="W109" i="10"/>
  <c r="W106" i="10"/>
  <c r="W103" i="10"/>
  <c r="W101" i="10"/>
  <c r="W98" i="10"/>
  <c r="W95" i="10"/>
  <c r="W93" i="10"/>
  <c r="W90" i="10"/>
  <c r="W87" i="10"/>
  <c r="W85" i="10"/>
  <c r="W82" i="10"/>
  <c r="W79" i="10"/>
  <c r="W77" i="10"/>
  <c r="W74" i="10"/>
  <c r="W71" i="10"/>
  <c r="W69" i="10"/>
  <c r="W66" i="10"/>
  <c r="W63" i="10"/>
  <c r="W61" i="10"/>
  <c r="W58" i="10"/>
  <c r="W55" i="10"/>
  <c r="W53" i="10"/>
  <c r="W50" i="10"/>
  <c r="W47" i="10"/>
  <c r="W45" i="10"/>
  <c r="W41" i="10"/>
  <c r="W37" i="10"/>
  <c r="W33" i="10"/>
  <c r="W29" i="10"/>
  <c r="W25" i="10"/>
  <c r="W21" i="10"/>
  <c r="W16" i="10"/>
  <c r="W12" i="10"/>
  <c r="W8" i="10"/>
  <c r="W4" i="10"/>
  <c r="E67" i="35"/>
  <c r="I67" i="35"/>
  <c r="K67" i="35"/>
  <c r="Z95" i="8"/>
  <c r="W272" i="10"/>
  <c r="W240" i="10"/>
  <c r="W183" i="10"/>
  <c r="W180" i="10"/>
  <c r="W167" i="10"/>
  <c r="W164" i="10"/>
  <c r="W151" i="10"/>
  <c r="W148" i="10"/>
  <c r="W135" i="10"/>
  <c r="W132" i="10"/>
  <c r="W44" i="10"/>
  <c r="W40" i="10"/>
  <c r="W36" i="10"/>
  <c r="W32" i="10"/>
  <c r="W28" i="10"/>
  <c r="W24" i="10"/>
  <c r="W20" i="10"/>
  <c r="W15" i="10"/>
  <c r="W11" i="10"/>
  <c r="W7" i="10"/>
  <c r="E88" i="35"/>
  <c r="I88" i="35"/>
  <c r="K88" i="35"/>
  <c r="W177" i="10"/>
  <c r="W145" i="10"/>
  <c r="W269" i="10"/>
  <c r="I46" i="35"/>
  <c r="E109" i="35"/>
  <c r="I109" i="35"/>
  <c r="K109" i="35"/>
  <c r="E230" i="35"/>
  <c r="I230" i="35"/>
  <c r="K230" i="35"/>
  <c r="I155" i="35"/>
  <c r="K155" i="35"/>
  <c r="E134" i="35"/>
  <c r="E156" i="35"/>
  <c r="I214" i="35"/>
  <c r="K214" i="35"/>
  <c r="I222" i="35"/>
  <c r="K222" i="35"/>
  <c r="W57" i="10"/>
  <c r="W65" i="10"/>
  <c r="W67" i="10"/>
  <c r="W81" i="10"/>
  <c r="W83" i="10"/>
  <c r="W97" i="10"/>
  <c r="W99" i="10"/>
  <c r="W243" i="10"/>
  <c r="E23" i="2"/>
  <c r="E27" i="2"/>
  <c r="C29" i="20"/>
  <c r="E29" i="20"/>
  <c r="E28" i="2"/>
  <c r="C32" i="20"/>
  <c r="E32" i="20"/>
  <c r="E83" i="2"/>
  <c r="G8" i="34"/>
  <c r="G16" i="34"/>
  <c r="E11" i="34"/>
  <c r="I11" i="34"/>
  <c r="K11" i="34"/>
  <c r="L13" i="34"/>
  <c r="F155" i="35"/>
  <c r="F177" i="35"/>
  <c r="M125" i="9"/>
  <c r="M64" i="9"/>
  <c r="F64" i="9"/>
  <c r="M69" i="9"/>
  <c r="G48" i="9"/>
  <c r="M48" i="9"/>
  <c r="G109" i="9"/>
  <c r="M109" i="9"/>
  <c r="M141" i="9"/>
  <c r="G161" i="9"/>
  <c r="G212" i="9"/>
  <c r="F212" i="9"/>
  <c r="I52" i="29"/>
  <c r="K52" i="29"/>
  <c r="M40" i="9"/>
  <c r="F40" i="9"/>
  <c r="F56" i="9"/>
  <c r="G291" i="9"/>
  <c r="M299" i="9"/>
  <c r="G299" i="9"/>
  <c r="G26" i="20"/>
  <c r="E26" i="20"/>
  <c r="L98" i="29"/>
  <c r="F117" i="9"/>
  <c r="G117" i="9"/>
  <c r="G133" i="9"/>
  <c r="M133" i="9"/>
  <c r="F177" i="9"/>
  <c r="G181" i="9"/>
  <c r="O145" i="8"/>
  <c r="O144" i="8"/>
  <c r="O143" i="8"/>
  <c r="O141" i="8"/>
  <c r="O140" i="8"/>
  <c r="L103" i="29"/>
  <c r="M44" i="9"/>
  <c r="F44" i="9"/>
  <c r="F52" i="9"/>
  <c r="G60" i="9"/>
  <c r="G153" i="9"/>
  <c r="M153" i="9"/>
  <c r="M169" i="9"/>
  <c r="F169" i="9"/>
  <c r="F259" i="9"/>
  <c r="G32" i="20"/>
  <c r="F113" i="9"/>
  <c r="G113" i="9"/>
  <c r="G121" i="9"/>
  <c r="M121" i="9"/>
  <c r="M129" i="9"/>
  <c r="F137" i="9"/>
  <c r="F145" i="9"/>
  <c r="G145" i="9"/>
  <c r="M189" i="9"/>
  <c r="F189" i="9"/>
  <c r="M196" i="9"/>
  <c r="G228" i="9"/>
  <c r="M39" i="9"/>
  <c r="G39" i="9"/>
  <c r="M70" i="9"/>
  <c r="G70" i="9"/>
  <c r="G185" i="9"/>
  <c r="M185" i="9"/>
  <c r="M193" i="9"/>
  <c r="F193" i="9"/>
  <c r="F275" i="9"/>
  <c r="K106" i="29"/>
  <c r="L107" i="29"/>
  <c r="E304" i="9"/>
  <c r="G125" i="9"/>
  <c r="G3" i="9"/>
  <c r="F4" i="9"/>
  <c r="M6" i="9"/>
  <c r="F8" i="9"/>
  <c r="M10" i="9"/>
  <c r="G11" i="9"/>
  <c r="M14" i="9"/>
  <c r="G15" i="9"/>
  <c r="F16" i="9"/>
  <c r="G19" i="9"/>
  <c r="F20" i="9"/>
  <c r="M22" i="9"/>
  <c r="F24" i="9"/>
  <c r="M26" i="9"/>
  <c r="G27" i="9"/>
  <c r="M30" i="9"/>
  <c r="G31" i="9"/>
  <c r="F32" i="9"/>
  <c r="G35" i="9"/>
  <c r="F36" i="9"/>
  <c r="M38" i="9"/>
  <c r="M41" i="9"/>
  <c r="G41" i="9"/>
  <c r="M43" i="9"/>
  <c r="F43" i="9"/>
  <c r="F45" i="9"/>
  <c r="M45" i="9"/>
  <c r="M47" i="9"/>
  <c r="G47" i="9"/>
  <c r="F47" i="9"/>
  <c r="M49" i="9"/>
  <c r="G49" i="9"/>
  <c r="M51" i="9"/>
  <c r="F51" i="9"/>
  <c r="F53" i="9"/>
  <c r="M53" i="9"/>
  <c r="M55" i="9"/>
  <c r="G55" i="9"/>
  <c r="F55" i="9"/>
  <c r="M57" i="9"/>
  <c r="G57" i="9"/>
  <c r="M59" i="9"/>
  <c r="F59" i="9"/>
  <c r="F61" i="9"/>
  <c r="M61" i="9"/>
  <c r="M63" i="9"/>
  <c r="G63" i="9"/>
  <c r="F63" i="9"/>
  <c r="M65" i="9"/>
  <c r="G65" i="9"/>
  <c r="G67" i="9"/>
  <c r="G149" i="9"/>
  <c r="M149" i="9"/>
  <c r="G157" i="9"/>
  <c r="G165" i="9"/>
  <c r="M165" i="9"/>
  <c r="G173" i="9"/>
  <c r="G204" i="9"/>
  <c r="F204" i="9"/>
  <c r="N204" i="9"/>
  <c r="M204" i="9"/>
  <c r="F220" i="9"/>
  <c r="M220" i="9"/>
  <c r="G108" i="9"/>
  <c r="G112" i="9"/>
  <c r="M112" i="9"/>
  <c r="G116" i="9"/>
  <c r="G120" i="9"/>
  <c r="M120" i="9"/>
  <c r="G124" i="9"/>
  <c r="G128" i="9"/>
  <c r="M128" i="9"/>
  <c r="G132" i="9"/>
  <c r="G136" i="9"/>
  <c r="M136" i="9"/>
  <c r="G140" i="9"/>
  <c r="G144" i="9"/>
  <c r="M144" i="9"/>
  <c r="M148" i="9"/>
  <c r="F150" i="9"/>
  <c r="M150" i="9"/>
  <c r="M152" i="9"/>
  <c r="F154" i="9"/>
  <c r="M154" i="9"/>
  <c r="M156" i="9"/>
  <c r="F158" i="9"/>
  <c r="M158" i="9"/>
  <c r="M160" i="9"/>
  <c r="F162" i="9"/>
  <c r="M162" i="9"/>
  <c r="M164" i="9"/>
  <c r="F166" i="9"/>
  <c r="M166" i="9"/>
  <c r="M168" i="9"/>
  <c r="F170" i="9"/>
  <c r="M170" i="9"/>
  <c r="M172" i="9"/>
  <c r="F174" i="9"/>
  <c r="M174" i="9"/>
  <c r="M176" i="9"/>
  <c r="F178" i="9"/>
  <c r="G178" i="9"/>
  <c r="F182" i="9"/>
  <c r="F186" i="9"/>
  <c r="G186" i="9"/>
  <c r="F190" i="9"/>
  <c r="G267" i="9"/>
  <c r="M267" i="9"/>
  <c r="F267" i="9"/>
  <c r="M283" i="9"/>
  <c r="F283" i="9"/>
  <c r="F68" i="9"/>
  <c r="M75" i="9"/>
  <c r="G76" i="9"/>
  <c r="F77" i="9"/>
  <c r="G80" i="9"/>
  <c r="F81" i="9"/>
  <c r="M83" i="9"/>
  <c r="F85" i="9"/>
  <c r="M87" i="9"/>
  <c r="G88" i="9"/>
  <c r="M91" i="9"/>
  <c r="G92" i="9"/>
  <c r="F93" i="9"/>
  <c r="G96" i="9"/>
  <c r="F97" i="9"/>
  <c r="M99" i="9"/>
  <c r="F101" i="9"/>
  <c r="M103" i="9"/>
  <c r="G104" i="9"/>
  <c r="M107" i="9"/>
  <c r="M111" i="9"/>
  <c r="M115" i="9"/>
  <c r="M123" i="9"/>
  <c r="M127" i="9"/>
  <c r="M131" i="9"/>
  <c r="M139" i="9"/>
  <c r="M143" i="9"/>
  <c r="M147" i="9"/>
  <c r="F200" i="9"/>
  <c r="M200" i="9"/>
  <c r="G208" i="9"/>
  <c r="M208" i="9"/>
  <c r="G216" i="9"/>
  <c r="F216" i="9"/>
  <c r="G224" i="9"/>
  <c r="F224" i="9"/>
  <c r="N224" i="9"/>
  <c r="M224" i="9"/>
  <c r="F232" i="9"/>
  <c r="M232" i="9"/>
  <c r="G263" i="9"/>
  <c r="F263" i="9"/>
  <c r="G271" i="9"/>
  <c r="M271" i="9"/>
  <c r="G279" i="9"/>
  <c r="M279" i="9"/>
  <c r="F279" i="9"/>
  <c r="M287" i="9"/>
  <c r="F287" i="9"/>
  <c r="G295" i="9"/>
  <c r="F295" i="9"/>
  <c r="M180" i="9"/>
  <c r="M184" i="9"/>
  <c r="M192" i="9"/>
  <c r="M195" i="9"/>
  <c r="F195" i="9"/>
  <c r="F197" i="9"/>
  <c r="G197" i="9"/>
  <c r="M197" i="9"/>
  <c r="F199" i="9"/>
  <c r="G199" i="9"/>
  <c r="F201" i="9"/>
  <c r="M201" i="9"/>
  <c r="M203" i="9"/>
  <c r="F203" i="9"/>
  <c r="F205" i="9"/>
  <c r="G205" i="9"/>
  <c r="M205" i="9"/>
  <c r="F207" i="9"/>
  <c r="G207" i="9"/>
  <c r="F209" i="9"/>
  <c r="M209" i="9"/>
  <c r="M211" i="9"/>
  <c r="F211" i="9"/>
  <c r="F213" i="9"/>
  <c r="G213" i="9"/>
  <c r="M213" i="9"/>
  <c r="F215" i="9"/>
  <c r="G215" i="9"/>
  <c r="F217" i="9"/>
  <c r="M217" i="9"/>
  <c r="M219" i="9"/>
  <c r="F219" i="9"/>
  <c r="F221" i="9"/>
  <c r="G221" i="9"/>
  <c r="M221" i="9"/>
  <c r="F223" i="9"/>
  <c r="G223" i="9"/>
  <c r="F225" i="9"/>
  <c r="M225" i="9"/>
  <c r="M227" i="9"/>
  <c r="F227" i="9"/>
  <c r="F229" i="9"/>
  <c r="G229" i="9"/>
  <c r="M229" i="9"/>
  <c r="F231" i="9"/>
  <c r="G231" i="9"/>
  <c r="G233" i="9"/>
  <c r="M233" i="9"/>
  <c r="G237" i="9"/>
  <c r="F237" i="9"/>
  <c r="G241" i="9"/>
  <c r="F241" i="9"/>
  <c r="N241" i="9"/>
  <c r="M241" i="9"/>
  <c r="F245" i="9"/>
  <c r="M245" i="9"/>
  <c r="G249" i="9"/>
  <c r="M249" i="9"/>
  <c r="G253" i="9"/>
  <c r="F253" i="9"/>
  <c r="G257" i="9"/>
  <c r="F257" i="9"/>
  <c r="N257" i="9"/>
  <c r="M257" i="9"/>
  <c r="G303" i="9"/>
  <c r="M17" i="12"/>
  <c r="M235" i="9"/>
  <c r="M243" i="9"/>
  <c r="M247" i="9"/>
  <c r="M251" i="9"/>
  <c r="M258" i="9"/>
  <c r="G258" i="9"/>
  <c r="F258" i="9"/>
  <c r="M260" i="9"/>
  <c r="G260" i="9"/>
  <c r="M262" i="9"/>
  <c r="F262" i="9"/>
  <c r="F264" i="9"/>
  <c r="M264" i="9"/>
  <c r="M266" i="9"/>
  <c r="G266" i="9"/>
  <c r="F266" i="9"/>
  <c r="M268" i="9"/>
  <c r="G268" i="9"/>
  <c r="M270" i="9"/>
  <c r="F270" i="9"/>
  <c r="F272" i="9"/>
  <c r="M272" i="9"/>
  <c r="M274" i="9"/>
  <c r="G274" i="9"/>
  <c r="F274" i="9"/>
  <c r="M276" i="9"/>
  <c r="G276" i="9"/>
  <c r="M278" i="9"/>
  <c r="F278" i="9"/>
  <c r="F280" i="9"/>
  <c r="M280" i="9"/>
  <c r="M282" i="9"/>
  <c r="G282" i="9"/>
  <c r="F282" i="9"/>
  <c r="M284" i="9"/>
  <c r="G284" i="9"/>
  <c r="M286" i="9"/>
  <c r="F286" i="9"/>
  <c r="F288" i="9"/>
  <c r="M288" i="9"/>
  <c r="M290" i="9"/>
  <c r="G290" i="9"/>
  <c r="F290" i="9"/>
  <c r="M292" i="9"/>
  <c r="G292" i="9"/>
  <c r="M294" i="9"/>
  <c r="F294" i="9"/>
  <c r="F296" i="9"/>
  <c r="M296" i="9"/>
  <c r="M298" i="9"/>
  <c r="M302" i="9"/>
  <c r="G236" i="9"/>
  <c r="M240" i="9"/>
  <c r="G240" i="9"/>
  <c r="G244" i="9"/>
  <c r="M248" i="9"/>
  <c r="G248" i="9"/>
  <c r="G252" i="9"/>
  <c r="M256" i="9"/>
  <c r="G256" i="9"/>
  <c r="G7" i="32"/>
  <c r="M16" i="12"/>
  <c r="F300" i="9"/>
  <c r="G8" i="32"/>
  <c r="G12" i="32"/>
  <c r="G14" i="32"/>
  <c r="G5" i="32"/>
  <c r="G4" i="32"/>
  <c r="G6" i="32"/>
  <c r="G9" i="32"/>
  <c r="G11" i="32"/>
  <c r="G10" i="32"/>
  <c r="G13" i="32"/>
  <c r="N81" i="9"/>
  <c r="N137" i="9"/>
  <c r="N40" i="9"/>
  <c r="I154" i="35"/>
  <c r="K154" i="35"/>
  <c r="E229" i="35"/>
  <c r="I229" i="35"/>
  <c r="K229" i="35"/>
  <c r="E31" i="35"/>
  <c r="I31" i="35"/>
  <c r="E36" i="29"/>
  <c r="I36" i="29"/>
  <c r="K36" i="29"/>
  <c r="E14" i="29"/>
  <c r="I14" i="29"/>
  <c r="K14" i="29"/>
  <c r="E81" i="29"/>
  <c r="I81" i="29"/>
  <c r="K81" i="29"/>
  <c r="N145" i="8"/>
  <c r="N144" i="8"/>
  <c r="N143" i="8"/>
  <c r="N141" i="8"/>
  <c r="N140" i="8"/>
  <c r="N139" i="8"/>
  <c r="N138" i="8"/>
  <c r="N137" i="8"/>
  <c r="N136" i="8"/>
  <c r="N135" i="8"/>
  <c r="N134" i="8"/>
  <c r="N133" i="8"/>
  <c r="N131" i="8"/>
  <c r="N130" i="8"/>
  <c r="N129" i="8"/>
  <c r="N127" i="8"/>
  <c r="N126" i="8"/>
  <c r="N125" i="8"/>
  <c r="N124" i="8"/>
  <c r="N123" i="8"/>
  <c r="N121" i="8"/>
  <c r="N120" i="8"/>
  <c r="N119" i="8"/>
  <c r="N118" i="8"/>
  <c r="N117" i="8"/>
  <c r="N115" i="8"/>
  <c r="N114" i="8"/>
  <c r="N113" i="8"/>
  <c r="N112" i="8"/>
  <c r="N111" i="8"/>
  <c r="N110" i="8"/>
  <c r="N109" i="8"/>
  <c r="N107" i="8"/>
  <c r="N106" i="8"/>
  <c r="N105" i="8"/>
  <c r="N103" i="8"/>
  <c r="N99" i="8"/>
  <c r="N94" i="8"/>
  <c r="N90" i="8"/>
  <c r="N85" i="8"/>
  <c r="N80" i="8"/>
  <c r="N76" i="8"/>
  <c r="N47" i="8"/>
  <c r="N31" i="8"/>
  <c r="N102" i="8"/>
  <c r="N98" i="8"/>
  <c r="N93" i="8"/>
  <c r="N89" i="8"/>
  <c r="N84" i="8"/>
  <c r="N79" i="8"/>
  <c r="N75" i="8"/>
  <c r="N100" i="8"/>
  <c r="N91" i="8"/>
  <c r="N81" i="8"/>
  <c r="N73" i="8"/>
  <c r="N72" i="8"/>
  <c r="N67" i="8"/>
  <c r="N63" i="8"/>
  <c r="N59" i="8"/>
  <c r="N55" i="8"/>
  <c r="N45" i="8"/>
  <c r="N286" i="10"/>
  <c r="N282" i="10"/>
  <c r="N278" i="10"/>
  <c r="N274" i="10"/>
  <c r="N270" i="10"/>
  <c r="N266" i="10"/>
  <c r="N262" i="10"/>
  <c r="N258" i="10"/>
  <c r="N254" i="10"/>
  <c r="N250" i="10"/>
  <c r="N246" i="10"/>
  <c r="N242" i="10"/>
  <c r="N97" i="8"/>
  <c r="N88" i="8"/>
  <c r="N78" i="8"/>
  <c r="N69" i="8"/>
  <c r="N64" i="8"/>
  <c r="N60" i="8"/>
  <c r="N56" i="8"/>
  <c r="N52" i="8"/>
  <c r="N44" i="8"/>
  <c r="N43" i="8"/>
  <c r="N42" i="8"/>
  <c r="N41" i="8"/>
  <c r="N40" i="8"/>
  <c r="N39" i="8"/>
  <c r="N38" i="8"/>
  <c r="N37" i="8"/>
  <c r="N36" i="8"/>
  <c r="N35" i="8"/>
  <c r="N34" i="8"/>
  <c r="N33" i="8"/>
  <c r="N30" i="8"/>
  <c r="N29" i="8"/>
  <c r="N28" i="8"/>
  <c r="N26" i="8"/>
  <c r="N25" i="8"/>
  <c r="N24" i="8"/>
  <c r="N23" i="8"/>
  <c r="N22" i="8"/>
  <c r="N21" i="8"/>
  <c r="N20" i="8"/>
  <c r="N19" i="8"/>
  <c r="N18" i="8"/>
  <c r="N17" i="8"/>
  <c r="N16" i="8"/>
  <c r="N15" i="8"/>
  <c r="N14" i="8"/>
  <c r="N13" i="8"/>
  <c r="N12" i="8"/>
  <c r="N11" i="8"/>
  <c r="N10" i="8"/>
  <c r="N9" i="8"/>
  <c r="N8" i="8"/>
  <c r="N7" i="8"/>
  <c r="N6" i="8"/>
  <c r="N5" i="8"/>
  <c r="N4" i="8"/>
  <c r="N3" i="8"/>
  <c r="N287" i="10"/>
  <c r="N283" i="10"/>
  <c r="E59" i="29"/>
  <c r="I59" i="29"/>
  <c r="K59" i="29"/>
  <c r="N104" i="8"/>
  <c r="N87" i="8"/>
  <c r="N285" i="10"/>
  <c r="N238" i="10"/>
  <c r="N234" i="10"/>
  <c r="N230" i="10"/>
  <c r="N226" i="10"/>
  <c r="N222" i="10"/>
  <c r="N218" i="10"/>
  <c r="N214" i="10"/>
  <c r="N210" i="10"/>
  <c r="N206" i="10"/>
  <c r="N202" i="10"/>
  <c r="N198" i="10"/>
  <c r="N194" i="10"/>
  <c r="N190" i="10"/>
  <c r="N186" i="10"/>
  <c r="N182" i="10"/>
  <c r="N178" i="10"/>
  <c r="N174" i="10"/>
  <c r="N170" i="10"/>
  <c r="N166" i="10"/>
  <c r="N162" i="10"/>
  <c r="N158" i="10"/>
  <c r="N154" i="10"/>
  <c r="N150" i="10"/>
  <c r="N146" i="10"/>
  <c r="N142" i="10"/>
  <c r="N138" i="10"/>
  <c r="N134" i="10"/>
  <c r="N130" i="10"/>
  <c r="N126" i="10"/>
  <c r="N122" i="10"/>
  <c r="N92" i="8"/>
  <c r="N74" i="8"/>
  <c r="N71" i="8"/>
  <c r="N62" i="8"/>
  <c r="N61" i="8"/>
  <c r="N54" i="8"/>
  <c r="N53" i="8"/>
  <c r="N284" i="10"/>
  <c r="N280" i="10"/>
  <c r="N277" i="10"/>
  <c r="N275" i="10"/>
  <c r="N272" i="10"/>
  <c r="N269" i="10"/>
  <c r="N267" i="10"/>
  <c r="N264" i="10"/>
  <c r="N261" i="10"/>
  <c r="N259" i="10"/>
  <c r="N256" i="10"/>
  <c r="N253" i="10"/>
  <c r="N251" i="10"/>
  <c r="N248" i="10"/>
  <c r="N245" i="10"/>
  <c r="N243" i="10"/>
  <c r="N240" i="10"/>
  <c r="N235" i="10"/>
  <c r="N231" i="10"/>
  <c r="N227" i="10"/>
  <c r="N223" i="10"/>
  <c r="N219" i="10"/>
  <c r="N215" i="10"/>
  <c r="N211" i="10"/>
  <c r="N207" i="10"/>
  <c r="N203" i="10"/>
  <c r="N199" i="10"/>
  <c r="N195" i="10"/>
  <c r="N191" i="10"/>
  <c r="N187" i="10"/>
  <c r="N66" i="8"/>
  <c r="N57" i="8"/>
  <c r="N276" i="10"/>
  <c r="N273" i="10"/>
  <c r="N260" i="10"/>
  <c r="N257" i="10"/>
  <c r="N244" i="10"/>
  <c r="N241" i="10"/>
  <c r="N236" i="10"/>
  <c r="N232" i="10"/>
  <c r="N228" i="10"/>
  <c r="N224" i="10"/>
  <c r="N220" i="10"/>
  <c r="N216" i="10"/>
  <c r="N212" i="10"/>
  <c r="N208" i="10"/>
  <c r="N204" i="10"/>
  <c r="N200" i="10"/>
  <c r="N196" i="10"/>
  <c r="N192" i="10"/>
  <c r="N188" i="10"/>
  <c r="N183" i="10"/>
  <c r="N180" i="10"/>
  <c r="N177" i="10"/>
  <c r="N175" i="10"/>
  <c r="N172" i="10"/>
  <c r="N169" i="10"/>
  <c r="N167" i="10"/>
  <c r="N164" i="10"/>
  <c r="N161" i="10"/>
  <c r="N159" i="10"/>
  <c r="N156" i="10"/>
  <c r="N153" i="10"/>
  <c r="N151" i="10"/>
  <c r="N148" i="10"/>
  <c r="N145" i="10"/>
  <c r="N143" i="10"/>
  <c r="N140" i="10"/>
  <c r="N137" i="10"/>
  <c r="N135" i="10"/>
  <c r="N132" i="10"/>
  <c r="N129" i="10"/>
  <c r="N127" i="10"/>
  <c r="N124" i="10"/>
  <c r="N118" i="10"/>
  <c r="N114" i="10"/>
  <c r="N101" i="8"/>
  <c r="N95" i="8"/>
  <c r="N70" i="8"/>
  <c r="N271" i="10"/>
  <c r="N255" i="10"/>
  <c r="N239" i="10"/>
  <c r="N237" i="10"/>
  <c r="N233" i="10"/>
  <c r="N229" i="10"/>
  <c r="N225" i="10"/>
  <c r="N221" i="10"/>
  <c r="N217" i="10"/>
  <c r="N213" i="10"/>
  <c r="N209" i="10"/>
  <c r="N205" i="10"/>
  <c r="N201" i="10"/>
  <c r="N197" i="10"/>
  <c r="N193" i="10"/>
  <c r="N189" i="10"/>
  <c r="N185" i="10"/>
  <c r="N117" i="10"/>
  <c r="N113" i="10"/>
  <c r="N108" i="10"/>
  <c r="N104" i="10"/>
  <c r="N100" i="10"/>
  <c r="N96" i="10"/>
  <c r="N92" i="10"/>
  <c r="N88" i="10"/>
  <c r="N84" i="10"/>
  <c r="N80" i="10"/>
  <c r="N76" i="10"/>
  <c r="N72" i="10"/>
  <c r="N68" i="10"/>
  <c r="N64" i="10"/>
  <c r="N60" i="10"/>
  <c r="N56" i="10"/>
  <c r="N52" i="10"/>
  <c r="N48" i="10"/>
  <c r="N82" i="8"/>
  <c r="N265" i="10"/>
  <c r="N252" i="10"/>
  <c r="N184" i="10"/>
  <c r="N181" i="10"/>
  <c r="N168" i="10"/>
  <c r="N165" i="10"/>
  <c r="N152" i="10"/>
  <c r="N149" i="10"/>
  <c r="N136" i="10"/>
  <c r="N133" i="10"/>
  <c r="N119" i="10"/>
  <c r="N115" i="10"/>
  <c r="N42" i="10"/>
  <c r="N38" i="10"/>
  <c r="N34" i="10"/>
  <c r="N30" i="10"/>
  <c r="N26" i="10"/>
  <c r="N22" i="10"/>
  <c r="N17" i="10"/>
  <c r="N13" i="10"/>
  <c r="N9" i="10"/>
  <c r="N5" i="10"/>
  <c r="N77" i="8"/>
  <c r="N263" i="10"/>
  <c r="N179" i="10"/>
  <c r="N163" i="10"/>
  <c r="N147" i="10"/>
  <c r="N131" i="10"/>
  <c r="N120" i="10"/>
  <c r="N116" i="10"/>
  <c r="N112" i="10"/>
  <c r="N111" i="10"/>
  <c r="N107" i="10"/>
  <c r="N105" i="10"/>
  <c r="N102" i="10"/>
  <c r="N99" i="10"/>
  <c r="N97" i="10"/>
  <c r="N94" i="10"/>
  <c r="N91" i="10"/>
  <c r="N89" i="10"/>
  <c r="N86" i="10"/>
  <c r="N83" i="10"/>
  <c r="N81" i="10"/>
  <c r="N78" i="10"/>
  <c r="N75" i="10"/>
  <c r="N73" i="10"/>
  <c r="N70" i="10"/>
  <c r="N67" i="10"/>
  <c r="N65" i="10"/>
  <c r="N62" i="10"/>
  <c r="N59" i="10"/>
  <c r="N57" i="10"/>
  <c r="N54" i="10"/>
  <c r="N51" i="10"/>
  <c r="N49" i="10"/>
  <c r="N46" i="10"/>
  <c r="N41" i="10"/>
  <c r="N37" i="10"/>
  <c r="N33" i="10"/>
  <c r="N29" i="10"/>
  <c r="N25" i="10"/>
  <c r="N21" i="10"/>
  <c r="N16" i="10"/>
  <c r="N12" i="10"/>
  <c r="N8" i="10"/>
  <c r="N4" i="10"/>
  <c r="N58" i="8"/>
  <c r="N50" i="8"/>
  <c r="N48" i="8"/>
  <c r="N281" i="10"/>
  <c r="N268" i="10"/>
  <c r="N249" i="10"/>
  <c r="N176" i="10"/>
  <c r="N173" i="10"/>
  <c r="N160" i="10"/>
  <c r="N157" i="10"/>
  <c r="N144" i="10"/>
  <c r="N141" i="10"/>
  <c r="N128" i="10"/>
  <c r="N125" i="10"/>
  <c r="N44" i="10"/>
  <c r="N40" i="10"/>
  <c r="N36" i="10"/>
  <c r="N32" i="10"/>
  <c r="N28" i="10"/>
  <c r="N24" i="10"/>
  <c r="N20" i="10"/>
  <c r="N15" i="10"/>
  <c r="N11" i="10"/>
  <c r="N7" i="10"/>
  <c r="E100" i="35"/>
  <c r="I100" i="35"/>
  <c r="K100" i="35"/>
  <c r="N171" i="10"/>
  <c r="N139" i="10"/>
  <c r="N109" i="10"/>
  <c r="N106" i="10"/>
  <c r="N101" i="10"/>
  <c r="N98" i="10"/>
  <c r="N93" i="10"/>
  <c r="N90" i="10"/>
  <c r="N85" i="10"/>
  <c r="N82" i="10"/>
  <c r="N77" i="10"/>
  <c r="N74" i="10"/>
  <c r="N69" i="10"/>
  <c r="N66" i="10"/>
  <c r="N61" i="10"/>
  <c r="N65" i="8"/>
  <c r="N247" i="10"/>
  <c r="N58" i="10"/>
  <c r="E52" i="35"/>
  <c r="I52" i="35"/>
  <c r="K52" i="35"/>
  <c r="K11" i="35"/>
  <c r="N45" i="10"/>
  <c r="N123" i="10"/>
  <c r="N95" i="10"/>
  <c r="N79" i="10"/>
  <c r="N63" i="10"/>
  <c r="N53" i="10"/>
  <c r="N39" i="10"/>
  <c r="N31" i="10"/>
  <c r="N23" i="10"/>
  <c r="N14" i="10"/>
  <c r="N6" i="10"/>
  <c r="N279" i="10"/>
  <c r="N71" i="10"/>
  <c r="N55" i="10"/>
  <c r="E79" i="35"/>
  <c r="I79" i="35"/>
  <c r="K79" i="35"/>
  <c r="N103" i="10"/>
  <c r="N47" i="10"/>
  <c r="N43" i="10"/>
  <c r="N35" i="10"/>
  <c r="N155" i="10"/>
  <c r="N50" i="10"/>
  <c r="N27" i="10"/>
  <c r="N10" i="10"/>
  <c r="N87" i="10"/>
  <c r="N18" i="10"/>
  <c r="N278" i="9"/>
  <c r="N262" i="9"/>
  <c r="N229" i="9"/>
  <c r="N221" i="9"/>
  <c r="N213" i="9"/>
  <c r="N207" i="9"/>
  <c r="N205" i="9"/>
  <c r="N197" i="9"/>
  <c r="N200" i="9"/>
  <c r="N220" i="9"/>
  <c r="N59" i="9"/>
  <c r="N275" i="9"/>
  <c r="N177" i="9"/>
  <c r="E33" i="35"/>
  <c r="I33" i="35"/>
  <c r="E83" i="29"/>
  <c r="I83" i="29"/>
  <c r="K83" i="29"/>
  <c r="U145" i="8"/>
  <c r="U143" i="8"/>
  <c r="U140" i="8"/>
  <c r="U139" i="8"/>
  <c r="U135" i="8"/>
  <c r="U130" i="8"/>
  <c r="U125" i="8"/>
  <c r="U120" i="8"/>
  <c r="U115" i="8"/>
  <c r="U111" i="8"/>
  <c r="U106" i="8"/>
  <c r="U104" i="8"/>
  <c r="U103" i="8"/>
  <c r="U102" i="8"/>
  <c r="U101" i="8"/>
  <c r="U100" i="8"/>
  <c r="U99" i="8"/>
  <c r="U98" i="8"/>
  <c r="U97" i="8"/>
  <c r="U95" i="8"/>
  <c r="U94" i="8"/>
  <c r="U93" i="8"/>
  <c r="U92" i="8"/>
  <c r="U91" i="8"/>
  <c r="U90" i="8"/>
  <c r="U89" i="8"/>
  <c r="U88" i="8"/>
  <c r="U87" i="8"/>
  <c r="U85" i="8"/>
  <c r="U84" i="8"/>
  <c r="U82" i="8"/>
  <c r="U81" i="8"/>
  <c r="U80" i="8"/>
  <c r="U79" i="8"/>
  <c r="U78" i="8"/>
  <c r="U77" i="8"/>
  <c r="U76" i="8"/>
  <c r="U75" i="8"/>
  <c r="U74" i="8"/>
  <c r="U73" i="8"/>
  <c r="E61" i="29"/>
  <c r="I61" i="29"/>
  <c r="K61" i="29"/>
  <c r="U136" i="8"/>
  <c r="U131" i="8"/>
  <c r="U126" i="8"/>
  <c r="U121" i="8"/>
  <c r="U117" i="8"/>
  <c r="U112" i="8"/>
  <c r="U107" i="8"/>
  <c r="U50" i="8"/>
  <c r="U48" i="8"/>
  <c r="U47" i="8"/>
  <c r="U45" i="8"/>
  <c r="U144" i="8"/>
  <c r="U72" i="8"/>
  <c r="U71" i="8"/>
  <c r="U70" i="8"/>
  <c r="U69" i="8"/>
  <c r="U67" i="8"/>
  <c r="U66" i="8"/>
  <c r="U65" i="8"/>
  <c r="U64" i="8"/>
  <c r="U63" i="8"/>
  <c r="U62" i="8"/>
  <c r="U61" i="8"/>
  <c r="U60" i="8"/>
  <c r="U59" i="8"/>
  <c r="U58" i="8"/>
  <c r="U57" i="8"/>
  <c r="U56" i="8"/>
  <c r="U55" i="8"/>
  <c r="U54" i="8"/>
  <c r="U53" i="8"/>
  <c r="U52" i="8"/>
  <c r="U33" i="8"/>
  <c r="E38" i="29"/>
  <c r="I38" i="29"/>
  <c r="K38" i="29"/>
  <c r="E16" i="29"/>
  <c r="I16" i="29"/>
  <c r="K16" i="29"/>
  <c r="U141" i="8"/>
  <c r="U134" i="8"/>
  <c r="U133" i="8"/>
  <c r="U124" i="8"/>
  <c r="U123" i="8"/>
  <c r="U114" i="8"/>
  <c r="U113" i="8"/>
  <c r="U105" i="8"/>
  <c r="U30" i="8"/>
  <c r="U29" i="8"/>
  <c r="U28" i="8"/>
  <c r="U26" i="8"/>
  <c r="U25" i="8"/>
  <c r="U24" i="8"/>
  <c r="U23" i="8"/>
  <c r="U22" i="8"/>
  <c r="U21" i="8"/>
  <c r="U20" i="8"/>
  <c r="U19" i="8"/>
  <c r="U18" i="8"/>
  <c r="U17" i="8"/>
  <c r="U16" i="8"/>
  <c r="U15" i="8"/>
  <c r="U14" i="8"/>
  <c r="U13" i="8"/>
  <c r="U12" i="8"/>
  <c r="U11" i="8"/>
  <c r="U10" i="8"/>
  <c r="U9" i="8"/>
  <c r="U8" i="8"/>
  <c r="U7" i="8"/>
  <c r="U6" i="8"/>
  <c r="U5" i="8"/>
  <c r="U4" i="8"/>
  <c r="U3" i="8"/>
  <c r="P284" i="10"/>
  <c r="P280" i="10"/>
  <c r="P276" i="10"/>
  <c r="P272" i="10"/>
  <c r="P268" i="10"/>
  <c r="P264" i="10"/>
  <c r="P260" i="10"/>
  <c r="P256" i="10"/>
  <c r="P252" i="10"/>
  <c r="P248" i="10"/>
  <c r="P244" i="10"/>
  <c r="P240" i="10"/>
  <c r="U138" i="8"/>
  <c r="U127" i="8"/>
  <c r="U119" i="8"/>
  <c r="U109" i="8"/>
  <c r="P285" i="10"/>
  <c r="U118" i="8"/>
  <c r="P281" i="10"/>
  <c r="P278" i="10"/>
  <c r="P273" i="10"/>
  <c r="P270" i="10"/>
  <c r="P265" i="10"/>
  <c r="P262" i="10"/>
  <c r="P257" i="10"/>
  <c r="P254" i="10"/>
  <c r="P249" i="10"/>
  <c r="P246" i="10"/>
  <c r="P241" i="10"/>
  <c r="P236" i="10"/>
  <c r="P232" i="10"/>
  <c r="P228" i="10"/>
  <c r="P224" i="10"/>
  <c r="P220" i="10"/>
  <c r="P216" i="10"/>
  <c r="P212" i="10"/>
  <c r="P208" i="10"/>
  <c r="P204" i="10"/>
  <c r="P200" i="10"/>
  <c r="P196" i="10"/>
  <c r="P192" i="10"/>
  <c r="P188" i="10"/>
  <c r="P184" i="10"/>
  <c r="P180" i="10"/>
  <c r="P176" i="10"/>
  <c r="P172" i="10"/>
  <c r="P168" i="10"/>
  <c r="P164" i="10"/>
  <c r="P160" i="10"/>
  <c r="P156" i="10"/>
  <c r="P152" i="10"/>
  <c r="P148" i="10"/>
  <c r="P144" i="10"/>
  <c r="P140" i="10"/>
  <c r="P136" i="10"/>
  <c r="P132" i="10"/>
  <c r="P128" i="10"/>
  <c r="P124" i="10"/>
  <c r="U129" i="8"/>
  <c r="P287" i="10"/>
  <c r="P283" i="10"/>
  <c r="P279" i="10"/>
  <c r="P271" i="10"/>
  <c r="P263" i="10"/>
  <c r="P255" i="10"/>
  <c r="P247" i="10"/>
  <c r="P239" i="10"/>
  <c r="P237" i="10"/>
  <c r="P233" i="10"/>
  <c r="P229" i="10"/>
  <c r="P225" i="10"/>
  <c r="P221" i="10"/>
  <c r="P217" i="10"/>
  <c r="P213" i="10"/>
  <c r="P209" i="10"/>
  <c r="P205" i="10"/>
  <c r="P201" i="10"/>
  <c r="P197" i="10"/>
  <c r="P193" i="10"/>
  <c r="P189" i="10"/>
  <c r="P185" i="10"/>
  <c r="P277" i="10"/>
  <c r="P275" i="10"/>
  <c r="P274" i="10"/>
  <c r="P261" i="10"/>
  <c r="P259" i="10"/>
  <c r="P258" i="10"/>
  <c r="P245" i="10"/>
  <c r="P243" i="10"/>
  <c r="P242" i="10"/>
  <c r="P235" i="10"/>
  <c r="P231" i="10"/>
  <c r="P227" i="10"/>
  <c r="P223" i="10"/>
  <c r="P219" i="10"/>
  <c r="P215" i="10"/>
  <c r="P211" i="10"/>
  <c r="P207" i="10"/>
  <c r="P203" i="10"/>
  <c r="P199" i="10"/>
  <c r="P195" i="10"/>
  <c r="P191" i="10"/>
  <c r="P187" i="10"/>
  <c r="P179" i="10"/>
  <c r="P171" i="10"/>
  <c r="P163" i="10"/>
  <c r="P155" i="10"/>
  <c r="P147" i="10"/>
  <c r="P139" i="10"/>
  <c r="P131" i="10"/>
  <c r="P123" i="10"/>
  <c r="P120" i="10"/>
  <c r="P116" i="10"/>
  <c r="P112" i="10"/>
  <c r="U43" i="8"/>
  <c r="U41" i="8"/>
  <c r="U39" i="8"/>
  <c r="U37" i="8"/>
  <c r="U35" i="8"/>
  <c r="P181" i="10"/>
  <c r="P178" i="10"/>
  <c r="P173" i="10"/>
  <c r="P170" i="10"/>
  <c r="P165" i="10"/>
  <c r="P162" i="10"/>
  <c r="P157" i="10"/>
  <c r="P154" i="10"/>
  <c r="P149" i="10"/>
  <c r="P146" i="10"/>
  <c r="P141" i="10"/>
  <c r="P138" i="10"/>
  <c r="P133" i="10"/>
  <c r="P130" i="10"/>
  <c r="P125" i="10"/>
  <c r="P122" i="10"/>
  <c r="P119" i="10"/>
  <c r="P115" i="10"/>
  <c r="P111" i="10"/>
  <c r="P106" i="10"/>
  <c r="P102" i="10"/>
  <c r="P98" i="10"/>
  <c r="P94" i="10"/>
  <c r="P90" i="10"/>
  <c r="P86" i="10"/>
  <c r="P82" i="10"/>
  <c r="P78" i="10"/>
  <c r="P74" i="10"/>
  <c r="P70" i="10"/>
  <c r="P66" i="10"/>
  <c r="P62" i="10"/>
  <c r="P58" i="10"/>
  <c r="P54" i="10"/>
  <c r="P50" i="10"/>
  <c r="P46" i="10"/>
  <c r="U137" i="8"/>
  <c r="P286" i="10"/>
  <c r="P282" i="10"/>
  <c r="P269" i="10"/>
  <c r="P267" i="10"/>
  <c r="P250" i="10"/>
  <c r="P183" i="10"/>
  <c r="P182" i="10"/>
  <c r="P169" i="10"/>
  <c r="P167" i="10"/>
  <c r="P166" i="10"/>
  <c r="P153" i="10"/>
  <c r="P151" i="10"/>
  <c r="P150" i="10"/>
  <c r="P137" i="10"/>
  <c r="P135" i="10"/>
  <c r="P134" i="10"/>
  <c r="P118" i="10"/>
  <c r="P114" i="10"/>
  <c r="P107" i="10"/>
  <c r="P104" i="10"/>
  <c r="P99" i="10"/>
  <c r="P96" i="10"/>
  <c r="P91" i="10"/>
  <c r="P88" i="10"/>
  <c r="P83" i="10"/>
  <c r="P80" i="10"/>
  <c r="P75" i="10"/>
  <c r="P72" i="10"/>
  <c r="P67" i="10"/>
  <c r="P64" i="10"/>
  <c r="P59" i="10"/>
  <c r="P56" i="10"/>
  <c r="P51" i="10"/>
  <c r="P48" i="10"/>
  <c r="P44" i="10"/>
  <c r="P40" i="10"/>
  <c r="P36" i="10"/>
  <c r="P32" i="10"/>
  <c r="P28" i="10"/>
  <c r="P24" i="10"/>
  <c r="P20" i="10"/>
  <c r="P15" i="10"/>
  <c r="P11" i="10"/>
  <c r="P7" i="10"/>
  <c r="U110" i="8"/>
  <c r="P234" i="10"/>
  <c r="P226" i="10"/>
  <c r="P218" i="10"/>
  <c r="P210" i="10"/>
  <c r="P202" i="10"/>
  <c r="P194" i="10"/>
  <c r="P186" i="10"/>
  <c r="P109" i="10"/>
  <c r="P101" i="10"/>
  <c r="P93" i="10"/>
  <c r="P85" i="10"/>
  <c r="P77" i="10"/>
  <c r="P69" i="10"/>
  <c r="P61" i="10"/>
  <c r="P53" i="10"/>
  <c r="P45" i="10"/>
  <c r="P43" i="10"/>
  <c r="P39" i="10"/>
  <c r="P35" i="10"/>
  <c r="P31" i="10"/>
  <c r="P27" i="10"/>
  <c r="P23" i="10"/>
  <c r="P18" i="10"/>
  <c r="P14" i="10"/>
  <c r="P10" i="10"/>
  <c r="P6" i="10"/>
  <c r="K15" i="35"/>
  <c r="U44" i="8"/>
  <c r="U42" i="8"/>
  <c r="U40" i="8"/>
  <c r="U38" i="8"/>
  <c r="U36" i="8"/>
  <c r="U34" i="8"/>
  <c r="P266" i="10"/>
  <c r="P253" i="10"/>
  <c r="P251" i="10"/>
  <c r="P177" i="10"/>
  <c r="P175" i="10"/>
  <c r="P174" i="10"/>
  <c r="P161" i="10"/>
  <c r="P159" i="10"/>
  <c r="P158" i="10"/>
  <c r="P145" i="10"/>
  <c r="P143" i="10"/>
  <c r="P142" i="10"/>
  <c r="P129" i="10"/>
  <c r="P127" i="10"/>
  <c r="P126" i="10"/>
  <c r="P117" i="10"/>
  <c r="P113" i="10"/>
  <c r="P108" i="10"/>
  <c r="P103" i="10"/>
  <c r="P100" i="10"/>
  <c r="P95" i="10"/>
  <c r="P92" i="10"/>
  <c r="P87" i="10"/>
  <c r="P84" i="10"/>
  <c r="P79" i="10"/>
  <c r="P76" i="10"/>
  <c r="P71" i="10"/>
  <c r="P68" i="10"/>
  <c r="P63" i="10"/>
  <c r="P60" i="10"/>
  <c r="P55" i="10"/>
  <c r="P52" i="10"/>
  <c r="P47" i="10"/>
  <c r="P42" i="10"/>
  <c r="P38" i="10"/>
  <c r="P34" i="10"/>
  <c r="P30" i="10"/>
  <c r="P26" i="10"/>
  <c r="P22" i="10"/>
  <c r="P17" i="10"/>
  <c r="P13" i="10"/>
  <c r="P9" i="10"/>
  <c r="P5" i="10"/>
  <c r="P214" i="10"/>
  <c r="U31" i="8"/>
  <c r="P238" i="10"/>
  <c r="P206" i="10"/>
  <c r="P49" i="10"/>
  <c r="E55" i="35"/>
  <c r="I55" i="35"/>
  <c r="K55" i="35"/>
  <c r="P198" i="10"/>
  <c r="P190" i="10"/>
  <c r="P97" i="10"/>
  <c r="P81" i="10"/>
  <c r="P65" i="10"/>
  <c r="P57" i="10"/>
  <c r="P37" i="10"/>
  <c r="P29" i="10"/>
  <c r="P21" i="10"/>
  <c r="P12" i="10"/>
  <c r="P4" i="10"/>
  <c r="P73" i="10"/>
  <c r="P25" i="10"/>
  <c r="P8" i="10"/>
  <c r="E102" i="35"/>
  <c r="I102" i="35"/>
  <c r="K102" i="35"/>
  <c r="P105" i="10"/>
  <c r="P16" i="10"/>
  <c r="P230" i="10"/>
  <c r="P222" i="10"/>
  <c r="P33" i="10"/>
  <c r="P89" i="10"/>
  <c r="E81" i="35"/>
  <c r="I81" i="35"/>
  <c r="K81" i="35"/>
  <c r="P41" i="10"/>
  <c r="E54" i="35"/>
  <c r="I54" i="35"/>
  <c r="K54" i="35"/>
  <c r="E32" i="35"/>
  <c r="I32" i="35"/>
  <c r="J14" i="35"/>
  <c r="K12" i="35"/>
  <c r="E84" i="29"/>
  <c r="I84" i="29"/>
  <c r="K84" i="29"/>
  <c r="V145" i="8"/>
  <c r="V144" i="8"/>
  <c r="V143" i="8"/>
  <c r="V141" i="8"/>
  <c r="V140" i="8"/>
  <c r="V139" i="8"/>
  <c r="V138" i="8"/>
  <c r="V137" i="8"/>
  <c r="V136" i="8"/>
  <c r="V135" i="8"/>
  <c r="V134" i="8"/>
  <c r="V133" i="8"/>
  <c r="V131" i="8"/>
  <c r="V130" i="8"/>
  <c r="V129" i="8"/>
  <c r="V127" i="8"/>
  <c r="V126" i="8"/>
  <c r="V125" i="8"/>
  <c r="V124" i="8"/>
  <c r="V123" i="8"/>
  <c r="V121" i="8"/>
  <c r="V120" i="8"/>
  <c r="V119" i="8"/>
  <c r="V118" i="8"/>
  <c r="V117" i="8"/>
  <c r="V115" i="8"/>
  <c r="V114" i="8"/>
  <c r="V113" i="8"/>
  <c r="V112" i="8"/>
  <c r="V111" i="8"/>
  <c r="V110" i="8"/>
  <c r="V109" i="8"/>
  <c r="V107" i="8"/>
  <c r="V106" i="8"/>
  <c r="V105" i="8"/>
  <c r="E39" i="29"/>
  <c r="I39" i="29"/>
  <c r="K39" i="29"/>
  <c r="E62" i="29"/>
  <c r="I62" i="29"/>
  <c r="K62" i="29"/>
  <c r="V104" i="8"/>
  <c r="V100" i="8"/>
  <c r="V95" i="8"/>
  <c r="V91" i="8"/>
  <c r="V87" i="8"/>
  <c r="V81" i="8"/>
  <c r="V77" i="8"/>
  <c r="V73" i="8"/>
  <c r="V50" i="8"/>
  <c r="V31" i="8"/>
  <c r="V30" i="8"/>
  <c r="V103" i="8"/>
  <c r="V99" i="8"/>
  <c r="V94" i="8"/>
  <c r="V90" i="8"/>
  <c r="V85" i="8"/>
  <c r="V80" i="8"/>
  <c r="V76" i="8"/>
  <c r="V72" i="8"/>
  <c r="V71" i="8"/>
  <c r="V70" i="8"/>
  <c r="V69" i="8"/>
  <c r="E17" i="29"/>
  <c r="I17" i="29"/>
  <c r="K17" i="29"/>
  <c r="V102" i="8"/>
  <c r="V93" i="8"/>
  <c r="V84" i="8"/>
  <c r="V75" i="8"/>
  <c r="V65" i="8"/>
  <c r="V61" i="8"/>
  <c r="V57" i="8"/>
  <c r="V53" i="8"/>
  <c r="V48" i="8"/>
  <c r="V47" i="8"/>
  <c r="V44" i="8"/>
  <c r="V43" i="8"/>
  <c r="V42" i="8"/>
  <c r="V41" i="8"/>
  <c r="V40" i="8"/>
  <c r="V39" i="8"/>
  <c r="V38" i="8"/>
  <c r="V37" i="8"/>
  <c r="V36" i="8"/>
  <c r="V35" i="8"/>
  <c r="V34" i="8"/>
  <c r="R287" i="10"/>
  <c r="R283" i="10"/>
  <c r="R279" i="10"/>
  <c r="R275" i="10"/>
  <c r="R271" i="10"/>
  <c r="R267" i="10"/>
  <c r="R263" i="10"/>
  <c r="R259" i="10"/>
  <c r="R255" i="10"/>
  <c r="R251" i="10"/>
  <c r="R247" i="10"/>
  <c r="R243" i="10"/>
  <c r="R239" i="10"/>
  <c r="V97" i="8"/>
  <c r="V88" i="8"/>
  <c r="V78" i="8"/>
  <c r="V66" i="8"/>
  <c r="V62" i="8"/>
  <c r="V58" i="8"/>
  <c r="V54" i="8"/>
  <c r="V45" i="8"/>
  <c r="V29" i="8"/>
  <c r="V28" i="8"/>
  <c r="V26" i="8"/>
  <c r="V25" i="8"/>
  <c r="V24" i="8"/>
  <c r="V23" i="8"/>
  <c r="V22" i="8"/>
  <c r="V21" i="8"/>
  <c r="V20" i="8"/>
  <c r="V19" i="8"/>
  <c r="V18" i="8"/>
  <c r="V17" i="8"/>
  <c r="V16" i="8"/>
  <c r="V15" i="8"/>
  <c r="V14" i="8"/>
  <c r="V13" i="8"/>
  <c r="V12" i="8"/>
  <c r="V11" i="8"/>
  <c r="V10" i="8"/>
  <c r="V9" i="8"/>
  <c r="V8" i="8"/>
  <c r="V7" i="8"/>
  <c r="V6" i="8"/>
  <c r="V5" i="8"/>
  <c r="V4" i="8"/>
  <c r="V3" i="8"/>
  <c r="R284" i="10"/>
  <c r="V64" i="8"/>
  <c r="V56" i="8"/>
  <c r="R286" i="10"/>
  <c r="R235" i="10"/>
  <c r="R231" i="10"/>
  <c r="R227" i="10"/>
  <c r="R223" i="10"/>
  <c r="R219" i="10"/>
  <c r="R215" i="10"/>
  <c r="R211" i="10"/>
  <c r="R207" i="10"/>
  <c r="R203" i="10"/>
  <c r="R199" i="10"/>
  <c r="R195" i="10"/>
  <c r="R191" i="10"/>
  <c r="R187" i="10"/>
  <c r="R183" i="10"/>
  <c r="R179" i="10"/>
  <c r="R175" i="10"/>
  <c r="R171" i="10"/>
  <c r="R167" i="10"/>
  <c r="R163" i="10"/>
  <c r="R159" i="10"/>
  <c r="R155" i="10"/>
  <c r="R151" i="10"/>
  <c r="R147" i="10"/>
  <c r="R143" i="10"/>
  <c r="R139" i="10"/>
  <c r="R135" i="10"/>
  <c r="R131" i="10"/>
  <c r="R127" i="10"/>
  <c r="R123" i="10"/>
  <c r="V98" i="8"/>
  <c r="V92" i="8"/>
  <c r="V79" i="8"/>
  <c r="V74" i="8"/>
  <c r="V63" i="8"/>
  <c r="V55" i="8"/>
  <c r="R285" i="10"/>
  <c r="R281" i="10"/>
  <c r="R278" i="10"/>
  <c r="R276" i="10"/>
  <c r="R273" i="10"/>
  <c r="R270" i="10"/>
  <c r="R268" i="10"/>
  <c r="R265" i="10"/>
  <c r="R262" i="10"/>
  <c r="R260" i="10"/>
  <c r="R257" i="10"/>
  <c r="R254" i="10"/>
  <c r="R252" i="10"/>
  <c r="R249" i="10"/>
  <c r="R246" i="10"/>
  <c r="R244" i="10"/>
  <c r="R241" i="10"/>
  <c r="R236" i="10"/>
  <c r="R232" i="10"/>
  <c r="R228" i="10"/>
  <c r="R224" i="10"/>
  <c r="R220" i="10"/>
  <c r="R216" i="10"/>
  <c r="R212" i="10"/>
  <c r="R208" i="10"/>
  <c r="R204" i="10"/>
  <c r="R200" i="10"/>
  <c r="R196" i="10"/>
  <c r="R192" i="10"/>
  <c r="R188" i="10"/>
  <c r="V60" i="8"/>
  <c r="V59" i="8"/>
  <c r="R272" i="10"/>
  <c r="R256" i="10"/>
  <c r="R240" i="10"/>
  <c r="R237" i="10"/>
  <c r="R233" i="10"/>
  <c r="R229" i="10"/>
  <c r="R225" i="10"/>
  <c r="R221" i="10"/>
  <c r="R217" i="10"/>
  <c r="R213" i="10"/>
  <c r="R209" i="10"/>
  <c r="R205" i="10"/>
  <c r="R201" i="10"/>
  <c r="R197" i="10"/>
  <c r="R193" i="10"/>
  <c r="R189" i="10"/>
  <c r="R185" i="10"/>
  <c r="R184" i="10"/>
  <c r="R181" i="10"/>
  <c r="R178" i="10"/>
  <c r="R176" i="10"/>
  <c r="R173" i="10"/>
  <c r="R170" i="10"/>
  <c r="R168" i="10"/>
  <c r="R165" i="10"/>
  <c r="R162" i="10"/>
  <c r="R160" i="10"/>
  <c r="R157" i="10"/>
  <c r="R154" i="10"/>
  <c r="R152" i="10"/>
  <c r="R149" i="10"/>
  <c r="R146" i="10"/>
  <c r="R144" i="10"/>
  <c r="R141" i="10"/>
  <c r="R138" i="10"/>
  <c r="R136" i="10"/>
  <c r="R133" i="10"/>
  <c r="R130" i="10"/>
  <c r="R128" i="10"/>
  <c r="R125" i="10"/>
  <c r="R122" i="10"/>
  <c r="R119" i="10"/>
  <c r="R115" i="10"/>
  <c r="V101" i="8"/>
  <c r="V33" i="8"/>
  <c r="R282" i="10"/>
  <c r="R269" i="10"/>
  <c r="R266" i="10"/>
  <c r="R253" i="10"/>
  <c r="R250" i="10"/>
  <c r="R238" i="10"/>
  <c r="R234" i="10"/>
  <c r="R230" i="10"/>
  <c r="R226" i="10"/>
  <c r="R222" i="10"/>
  <c r="R218" i="10"/>
  <c r="R214" i="10"/>
  <c r="R210" i="10"/>
  <c r="R206" i="10"/>
  <c r="R202" i="10"/>
  <c r="R198" i="10"/>
  <c r="R194" i="10"/>
  <c r="R190" i="10"/>
  <c r="R186" i="10"/>
  <c r="R118" i="10"/>
  <c r="R114" i="10"/>
  <c r="R109" i="10"/>
  <c r="R105" i="10"/>
  <c r="R101" i="10"/>
  <c r="R97" i="10"/>
  <c r="R93" i="10"/>
  <c r="R89" i="10"/>
  <c r="R85" i="10"/>
  <c r="R81" i="10"/>
  <c r="R77" i="10"/>
  <c r="R73" i="10"/>
  <c r="R69" i="10"/>
  <c r="R65" i="10"/>
  <c r="R61" i="10"/>
  <c r="R57" i="10"/>
  <c r="R53" i="10"/>
  <c r="R49" i="10"/>
  <c r="R45" i="10"/>
  <c r="V89" i="8"/>
  <c r="R280" i="10"/>
  <c r="R261" i="10"/>
  <c r="R248" i="10"/>
  <c r="R180" i="10"/>
  <c r="R164" i="10"/>
  <c r="R148" i="10"/>
  <c r="R132" i="10"/>
  <c r="R120" i="10"/>
  <c r="R116" i="10"/>
  <c r="R112" i="10"/>
  <c r="R43" i="10"/>
  <c r="R39" i="10"/>
  <c r="R35" i="10"/>
  <c r="R31" i="10"/>
  <c r="R27" i="10"/>
  <c r="R23" i="10"/>
  <c r="R18" i="10"/>
  <c r="R14" i="10"/>
  <c r="R10" i="10"/>
  <c r="R6" i="10"/>
  <c r="V82" i="8"/>
  <c r="R274" i="10"/>
  <c r="R242" i="10"/>
  <c r="R177" i="10"/>
  <c r="R174" i="10"/>
  <c r="R161" i="10"/>
  <c r="R158" i="10"/>
  <c r="R145" i="10"/>
  <c r="R142" i="10"/>
  <c r="R129" i="10"/>
  <c r="R126" i="10"/>
  <c r="R117" i="10"/>
  <c r="R113" i="10"/>
  <c r="R108" i="10"/>
  <c r="R106" i="10"/>
  <c r="R103" i="10"/>
  <c r="R100" i="10"/>
  <c r="R98" i="10"/>
  <c r="R95" i="10"/>
  <c r="R92" i="10"/>
  <c r="R90" i="10"/>
  <c r="R87" i="10"/>
  <c r="R84" i="10"/>
  <c r="R82" i="10"/>
  <c r="R79" i="10"/>
  <c r="R76" i="10"/>
  <c r="R74" i="10"/>
  <c r="R71" i="10"/>
  <c r="R68" i="10"/>
  <c r="R66" i="10"/>
  <c r="R63" i="10"/>
  <c r="R60" i="10"/>
  <c r="R58" i="10"/>
  <c r="R55" i="10"/>
  <c r="R52" i="10"/>
  <c r="R50" i="10"/>
  <c r="R47" i="10"/>
  <c r="R42" i="10"/>
  <c r="R38" i="10"/>
  <c r="R34" i="10"/>
  <c r="R30" i="10"/>
  <c r="R26" i="10"/>
  <c r="R22" i="10"/>
  <c r="R17" i="10"/>
  <c r="R13" i="10"/>
  <c r="R9" i="10"/>
  <c r="R5" i="10"/>
  <c r="E103" i="35"/>
  <c r="I103" i="35"/>
  <c r="K103" i="35"/>
  <c r="K16" i="35"/>
  <c r="V52" i="8"/>
  <c r="R277" i="10"/>
  <c r="R264" i="10"/>
  <c r="R245" i="10"/>
  <c r="R172" i="10"/>
  <c r="R156" i="10"/>
  <c r="R140" i="10"/>
  <c r="R124" i="10"/>
  <c r="R41" i="10"/>
  <c r="R37" i="10"/>
  <c r="R33" i="10"/>
  <c r="R29" i="10"/>
  <c r="R25" i="10"/>
  <c r="R21" i="10"/>
  <c r="R16" i="10"/>
  <c r="R12" i="10"/>
  <c r="R8" i="10"/>
  <c r="R4" i="10"/>
  <c r="R182" i="10"/>
  <c r="R153" i="10"/>
  <c r="R150" i="10"/>
  <c r="R104" i="10"/>
  <c r="R96" i="10"/>
  <c r="R88" i="10"/>
  <c r="R80" i="10"/>
  <c r="R72" i="10"/>
  <c r="R64" i="10"/>
  <c r="R56" i="10"/>
  <c r="R258" i="10"/>
  <c r="R102" i="10"/>
  <c r="R86" i="10"/>
  <c r="R70" i="10"/>
  <c r="R59" i="10"/>
  <c r="R54" i="10"/>
  <c r="R46" i="10"/>
  <c r="E34" i="35"/>
  <c r="I34" i="35"/>
  <c r="R94" i="10"/>
  <c r="R78" i="10"/>
  <c r="R62" i="10"/>
  <c r="V67" i="8"/>
  <c r="R137" i="10"/>
  <c r="R134" i="10"/>
  <c r="R99" i="10"/>
  <c r="R83" i="10"/>
  <c r="R67" i="10"/>
  <c r="R48" i="10"/>
  <c r="R40" i="10"/>
  <c r="R32" i="10"/>
  <c r="R24" i="10"/>
  <c r="R15" i="10"/>
  <c r="R7" i="10"/>
  <c r="R111" i="10"/>
  <c r="R169" i="10"/>
  <c r="R166" i="10"/>
  <c r="R75" i="10"/>
  <c r="R107" i="10"/>
  <c r="R20" i="10"/>
  <c r="E82" i="35"/>
  <c r="I82" i="35"/>
  <c r="K82" i="35"/>
  <c r="R91" i="10"/>
  <c r="R44" i="10"/>
  <c r="R36" i="10"/>
  <c r="R28" i="10"/>
  <c r="R11" i="10"/>
  <c r="R51" i="10"/>
  <c r="E56" i="35"/>
  <c r="I56" i="35"/>
  <c r="K56" i="35"/>
  <c r="G300" i="9"/>
  <c r="M252" i="9"/>
  <c r="M244" i="9"/>
  <c r="M236" i="9"/>
  <c r="G296" i="9"/>
  <c r="G294" i="9"/>
  <c r="N294" i="9"/>
  <c r="F292" i="9"/>
  <c r="N292" i="9"/>
  <c r="G288" i="9"/>
  <c r="N288" i="9"/>
  <c r="G286" i="9"/>
  <c r="F284" i="9"/>
  <c r="N284" i="9"/>
  <c r="G280" i="9"/>
  <c r="N280" i="9"/>
  <c r="G278" i="9"/>
  <c r="F276" i="9"/>
  <c r="N276" i="9"/>
  <c r="G272" i="9"/>
  <c r="N272" i="9"/>
  <c r="G270" i="9"/>
  <c r="F268" i="9"/>
  <c r="N268" i="9"/>
  <c r="G264" i="9"/>
  <c r="G262" i="9"/>
  <c r="F260" i="9"/>
  <c r="N260" i="9"/>
  <c r="M255" i="9"/>
  <c r="M239" i="9"/>
  <c r="M303" i="9"/>
  <c r="M253" i="9"/>
  <c r="N253" i="9"/>
  <c r="F249" i="9"/>
  <c r="N249" i="9"/>
  <c r="G245" i="9"/>
  <c r="M237" i="9"/>
  <c r="F233" i="9"/>
  <c r="N233" i="9"/>
  <c r="M231" i="9"/>
  <c r="G227" i="9"/>
  <c r="G225" i="9"/>
  <c r="N225" i="9"/>
  <c r="M223" i="9"/>
  <c r="N223" i="9"/>
  <c r="G219" i="9"/>
  <c r="G217" i="9"/>
  <c r="M215" i="9"/>
  <c r="G211" i="9"/>
  <c r="G209" i="9"/>
  <c r="M207" i="9"/>
  <c r="G203" i="9"/>
  <c r="N203" i="9"/>
  <c r="G201" i="9"/>
  <c r="N201" i="9"/>
  <c r="M199" i="9"/>
  <c r="G195" i="9"/>
  <c r="M188" i="9"/>
  <c r="M295" i="9"/>
  <c r="N295" i="9"/>
  <c r="G287" i="9"/>
  <c r="F271" i="9"/>
  <c r="N271" i="9"/>
  <c r="M263" i="9"/>
  <c r="N263" i="9"/>
  <c r="G232" i="9"/>
  <c r="N232" i="9"/>
  <c r="M216" i="9"/>
  <c r="F208" i="9"/>
  <c r="N208" i="9"/>
  <c r="G200" i="9"/>
  <c r="M135" i="9"/>
  <c r="M119" i="9"/>
  <c r="F105" i="9"/>
  <c r="G100" i="9"/>
  <c r="M95" i="9"/>
  <c r="F89" i="9"/>
  <c r="G84" i="9"/>
  <c r="M79" i="9"/>
  <c r="F73" i="9"/>
  <c r="N73" i="9"/>
  <c r="G283" i="9"/>
  <c r="N283" i="9"/>
  <c r="G190" i="9"/>
  <c r="G182" i="9"/>
  <c r="G176" i="9"/>
  <c r="G172" i="9"/>
  <c r="G168" i="9"/>
  <c r="G164" i="9"/>
  <c r="G160" i="9"/>
  <c r="G156" i="9"/>
  <c r="G152" i="9"/>
  <c r="G148" i="9"/>
  <c r="M140" i="9"/>
  <c r="M132" i="9"/>
  <c r="M124" i="9"/>
  <c r="M116" i="9"/>
  <c r="M108" i="9"/>
  <c r="G220" i="9"/>
  <c r="M173" i="9"/>
  <c r="M157" i="9"/>
  <c r="F67" i="9"/>
  <c r="N67" i="9"/>
  <c r="F65" i="9"/>
  <c r="N65" i="9"/>
  <c r="G61" i="9"/>
  <c r="G59" i="9"/>
  <c r="F57" i="9"/>
  <c r="N57" i="9"/>
  <c r="G53" i="9"/>
  <c r="N53" i="9"/>
  <c r="G51" i="9"/>
  <c r="N51" i="9"/>
  <c r="F49" i="9"/>
  <c r="N49" i="9"/>
  <c r="G45" i="9"/>
  <c r="N45" i="9"/>
  <c r="G43" i="9"/>
  <c r="N43" i="9"/>
  <c r="F41" i="9"/>
  <c r="N41" i="9"/>
  <c r="M34" i="9"/>
  <c r="F28" i="9"/>
  <c r="G23" i="9"/>
  <c r="M18" i="9"/>
  <c r="F12" i="9"/>
  <c r="G7" i="9"/>
  <c r="M2" i="9"/>
  <c r="M275" i="9"/>
  <c r="G193" i="9"/>
  <c r="N193" i="9"/>
  <c r="F72" i="9"/>
  <c r="N72" i="9"/>
  <c r="F70" i="9"/>
  <c r="N70" i="9"/>
  <c r="M228" i="9"/>
  <c r="F196" i="9"/>
  <c r="G189" i="9"/>
  <c r="N189" i="9"/>
  <c r="M137" i="9"/>
  <c r="G129" i="9"/>
  <c r="F121" i="9"/>
  <c r="N121" i="9"/>
  <c r="M259" i="9"/>
  <c r="G169" i="9"/>
  <c r="F60" i="9"/>
  <c r="M52" i="9"/>
  <c r="N52" i="9"/>
  <c r="G44" i="9"/>
  <c r="F181" i="9"/>
  <c r="M177" i="9"/>
  <c r="F133" i="9"/>
  <c r="N133" i="9"/>
  <c r="F291" i="9"/>
  <c r="N291" i="9"/>
  <c r="M56" i="9"/>
  <c r="G40" i="9"/>
  <c r="G29" i="20"/>
  <c r="F161" i="9"/>
  <c r="N161" i="9"/>
  <c r="G141" i="9"/>
  <c r="F109" i="9"/>
  <c r="N109" i="9"/>
  <c r="G64" i="9"/>
  <c r="N64" i="9"/>
  <c r="E209" i="35"/>
  <c r="I209" i="35"/>
  <c r="K209" i="35"/>
  <c r="I134" i="35"/>
  <c r="K134" i="35"/>
  <c r="E235" i="35"/>
  <c r="I235" i="35"/>
  <c r="K235" i="35"/>
  <c r="L251" i="35"/>
  <c r="E26" i="35"/>
  <c r="I26" i="35"/>
  <c r="M145" i="8"/>
  <c r="M143" i="8"/>
  <c r="M140" i="8"/>
  <c r="M137" i="8"/>
  <c r="M133" i="8"/>
  <c r="M127" i="8"/>
  <c r="M123" i="8"/>
  <c r="M118" i="8"/>
  <c r="M113" i="8"/>
  <c r="M109" i="8"/>
  <c r="M104" i="8"/>
  <c r="M103" i="8"/>
  <c r="M102" i="8"/>
  <c r="M101" i="8"/>
  <c r="M100" i="8"/>
  <c r="M99" i="8"/>
  <c r="M98" i="8"/>
  <c r="M97" i="8"/>
  <c r="M95" i="8"/>
  <c r="M94" i="8"/>
  <c r="M93" i="8"/>
  <c r="M92" i="8"/>
  <c r="M91" i="8"/>
  <c r="M90" i="8"/>
  <c r="M89" i="8"/>
  <c r="M88" i="8"/>
  <c r="M87" i="8"/>
  <c r="M85" i="8"/>
  <c r="M84" i="8"/>
  <c r="M82" i="8"/>
  <c r="M81" i="8"/>
  <c r="M80" i="8"/>
  <c r="M79" i="8"/>
  <c r="M78" i="8"/>
  <c r="M77" i="8"/>
  <c r="M76" i="8"/>
  <c r="M75" i="8"/>
  <c r="M74" i="8"/>
  <c r="M73" i="8"/>
  <c r="M138" i="8"/>
  <c r="M134" i="8"/>
  <c r="M129" i="8"/>
  <c r="M124" i="8"/>
  <c r="M119" i="8"/>
  <c r="M114" i="8"/>
  <c r="M110" i="8"/>
  <c r="M105" i="8"/>
  <c r="M50" i="8"/>
  <c r="M48" i="8"/>
  <c r="M47" i="8"/>
  <c r="M45" i="8"/>
  <c r="M139" i="8"/>
  <c r="M130" i="8"/>
  <c r="M120" i="8"/>
  <c r="M111" i="8"/>
  <c r="M33" i="8"/>
  <c r="M144" i="8"/>
  <c r="M131" i="8"/>
  <c r="M121" i="8"/>
  <c r="M112" i="8"/>
  <c r="M72" i="8"/>
  <c r="M71" i="8"/>
  <c r="M70" i="8"/>
  <c r="M141" i="8"/>
  <c r="M69" i="8"/>
  <c r="M64" i="8"/>
  <c r="M60" i="8"/>
  <c r="M56" i="8"/>
  <c r="M52" i="8"/>
  <c r="M44" i="8"/>
  <c r="M43" i="8"/>
  <c r="M42" i="8"/>
  <c r="M41" i="8"/>
  <c r="M40" i="8"/>
  <c r="M39" i="8"/>
  <c r="M38" i="8"/>
  <c r="M37" i="8"/>
  <c r="M36" i="8"/>
  <c r="M35" i="8"/>
  <c r="M34" i="8"/>
  <c r="M30" i="8"/>
  <c r="M29" i="8"/>
  <c r="M28" i="8"/>
  <c r="M26" i="8"/>
  <c r="M25" i="8"/>
  <c r="M24" i="8"/>
  <c r="M23" i="8"/>
  <c r="M22" i="8"/>
  <c r="M21" i="8"/>
  <c r="M20" i="8"/>
  <c r="M19" i="8"/>
  <c r="M18" i="8"/>
  <c r="M17" i="8"/>
  <c r="M16" i="8"/>
  <c r="M15" i="8"/>
  <c r="M14" i="8"/>
  <c r="M13" i="8"/>
  <c r="M12" i="8"/>
  <c r="M11" i="8"/>
  <c r="M10" i="8"/>
  <c r="M9" i="8"/>
  <c r="M8" i="8"/>
  <c r="M7" i="8"/>
  <c r="M6" i="8"/>
  <c r="M5" i="8"/>
  <c r="M4" i="8"/>
  <c r="M3" i="8"/>
  <c r="M287" i="10"/>
  <c r="M283" i="10"/>
  <c r="M279" i="10"/>
  <c r="M275" i="10"/>
  <c r="M271" i="10"/>
  <c r="M267" i="10"/>
  <c r="M263" i="10"/>
  <c r="M259" i="10"/>
  <c r="M255" i="10"/>
  <c r="M251" i="10"/>
  <c r="M247" i="10"/>
  <c r="M243" i="10"/>
  <c r="M239" i="10"/>
  <c r="M136" i="8"/>
  <c r="M125" i="8"/>
  <c r="M117" i="8"/>
  <c r="M106" i="8"/>
  <c r="M65" i="8"/>
  <c r="M61" i="8"/>
  <c r="M57" i="8"/>
  <c r="M53" i="8"/>
  <c r="M31" i="8"/>
  <c r="M284" i="10"/>
  <c r="M115" i="8"/>
  <c r="M62" i="8"/>
  <c r="M54" i="8"/>
  <c r="M282" i="10"/>
  <c r="M280" i="10"/>
  <c r="M277" i="10"/>
  <c r="M274" i="10"/>
  <c r="M272" i="10"/>
  <c r="M269" i="10"/>
  <c r="M266" i="10"/>
  <c r="M264" i="10"/>
  <c r="M261" i="10"/>
  <c r="M258" i="10"/>
  <c r="M256" i="10"/>
  <c r="M253" i="10"/>
  <c r="M250" i="10"/>
  <c r="M248" i="10"/>
  <c r="M245" i="10"/>
  <c r="M242" i="10"/>
  <c r="M240" i="10"/>
  <c r="M235" i="10"/>
  <c r="M231" i="10"/>
  <c r="M227" i="10"/>
  <c r="M223" i="10"/>
  <c r="M219" i="10"/>
  <c r="M215" i="10"/>
  <c r="M211" i="10"/>
  <c r="M207" i="10"/>
  <c r="M203" i="10"/>
  <c r="M199" i="10"/>
  <c r="M195" i="10"/>
  <c r="M191" i="10"/>
  <c r="M187" i="10"/>
  <c r="M183" i="10"/>
  <c r="M179" i="10"/>
  <c r="M175" i="10"/>
  <c r="M171" i="10"/>
  <c r="M167" i="10"/>
  <c r="M163" i="10"/>
  <c r="M159" i="10"/>
  <c r="M155" i="10"/>
  <c r="M151" i="10"/>
  <c r="M147" i="10"/>
  <c r="M143" i="10"/>
  <c r="M139" i="10"/>
  <c r="M135" i="10"/>
  <c r="M131" i="10"/>
  <c r="M127" i="10"/>
  <c r="M123" i="10"/>
  <c r="M126" i="8"/>
  <c r="M63" i="8"/>
  <c r="M55" i="8"/>
  <c r="M236" i="10"/>
  <c r="M232" i="10"/>
  <c r="M228" i="10"/>
  <c r="M224" i="10"/>
  <c r="M220" i="10"/>
  <c r="M216" i="10"/>
  <c r="M212" i="10"/>
  <c r="M208" i="10"/>
  <c r="M204" i="10"/>
  <c r="M200" i="10"/>
  <c r="M196" i="10"/>
  <c r="M192" i="10"/>
  <c r="M188" i="10"/>
  <c r="M59" i="8"/>
  <c r="M286" i="10"/>
  <c r="M278" i="10"/>
  <c r="M262" i="10"/>
  <c r="M246" i="10"/>
  <c r="M119" i="10"/>
  <c r="M115" i="10"/>
  <c r="M66" i="8"/>
  <c r="M276" i="10"/>
  <c r="M273" i="10"/>
  <c r="M260" i="10"/>
  <c r="M257" i="10"/>
  <c r="M244" i="10"/>
  <c r="M241" i="10"/>
  <c r="M182" i="10"/>
  <c r="M180" i="10"/>
  <c r="M177" i="10"/>
  <c r="M174" i="10"/>
  <c r="M172" i="10"/>
  <c r="M169" i="10"/>
  <c r="M166" i="10"/>
  <c r="M164" i="10"/>
  <c r="M161" i="10"/>
  <c r="M158" i="10"/>
  <c r="M156" i="10"/>
  <c r="M153" i="10"/>
  <c r="M150" i="10"/>
  <c r="M148" i="10"/>
  <c r="M145" i="10"/>
  <c r="M142" i="10"/>
  <c r="M140" i="10"/>
  <c r="M137" i="10"/>
  <c r="M134" i="10"/>
  <c r="M132" i="10"/>
  <c r="M129" i="10"/>
  <c r="M126" i="10"/>
  <c r="M124" i="10"/>
  <c r="M118" i="10"/>
  <c r="M114" i="10"/>
  <c r="M109" i="10"/>
  <c r="M105" i="10"/>
  <c r="M101" i="10"/>
  <c r="M97" i="10"/>
  <c r="M93" i="10"/>
  <c r="M89" i="10"/>
  <c r="M85" i="10"/>
  <c r="M81" i="10"/>
  <c r="M77" i="10"/>
  <c r="M73" i="10"/>
  <c r="M69" i="10"/>
  <c r="M65" i="10"/>
  <c r="M61" i="10"/>
  <c r="M57" i="10"/>
  <c r="M53" i="10"/>
  <c r="M49" i="10"/>
  <c r="M45" i="10"/>
  <c r="M238" i="10"/>
  <c r="M230" i="10"/>
  <c r="M222" i="10"/>
  <c r="M214" i="10"/>
  <c r="M206" i="10"/>
  <c r="M198" i="10"/>
  <c r="M190" i="10"/>
  <c r="M170" i="10"/>
  <c r="M154" i="10"/>
  <c r="M138" i="10"/>
  <c r="M122" i="10"/>
  <c r="M108" i="10"/>
  <c r="M106" i="10"/>
  <c r="M103" i="10"/>
  <c r="M100" i="10"/>
  <c r="M98" i="10"/>
  <c r="M95" i="10"/>
  <c r="M92" i="10"/>
  <c r="M90" i="10"/>
  <c r="M87" i="10"/>
  <c r="M84" i="10"/>
  <c r="M82" i="10"/>
  <c r="M79" i="10"/>
  <c r="M76" i="10"/>
  <c r="M74" i="10"/>
  <c r="M71" i="10"/>
  <c r="M68" i="10"/>
  <c r="M66" i="10"/>
  <c r="M63" i="10"/>
  <c r="M60" i="10"/>
  <c r="M58" i="10"/>
  <c r="M55" i="10"/>
  <c r="M52" i="10"/>
  <c r="M50" i="10"/>
  <c r="M47" i="10"/>
  <c r="M43" i="10"/>
  <c r="M39" i="10"/>
  <c r="M35" i="10"/>
  <c r="M31" i="10"/>
  <c r="M27" i="10"/>
  <c r="M23" i="10"/>
  <c r="M18" i="10"/>
  <c r="M14" i="10"/>
  <c r="M10" i="10"/>
  <c r="M6" i="10"/>
  <c r="M265" i="10"/>
  <c r="M254" i="10"/>
  <c r="M252" i="10"/>
  <c r="M233" i="10"/>
  <c r="M225" i="10"/>
  <c r="M217" i="10"/>
  <c r="M209" i="10"/>
  <c r="M201" i="10"/>
  <c r="M193" i="10"/>
  <c r="M185" i="10"/>
  <c r="M184" i="10"/>
  <c r="M181" i="10"/>
  <c r="M168" i="10"/>
  <c r="M165" i="10"/>
  <c r="M152" i="10"/>
  <c r="M149" i="10"/>
  <c r="M136" i="10"/>
  <c r="M133" i="10"/>
  <c r="M42" i="10"/>
  <c r="M38" i="10"/>
  <c r="M34" i="10"/>
  <c r="M30" i="10"/>
  <c r="M26" i="10"/>
  <c r="M22" i="10"/>
  <c r="M17" i="10"/>
  <c r="M13" i="10"/>
  <c r="M9" i="10"/>
  <c r="M5" i="10"/>
  <c r="E99" i="35"/>
  <c r="I99" i="35"/>
  <c r="K99" i="35"/>
  <c r="M107" i="8"/>
  <c r="M285" i="10"/>
  <c r="M234" i="10"/>
  <c r="M226" i="10"/>
  <c r="M218" i="10"/>
  <c r="M210" i="10"/>
  <c r="M202" i="10"/>
  <c r="M194" i="10"/>
  <c r="M186" i="10"/>
  <c r="M178" i="10"/>
  <c r="M162" i="10"/>
  <c r="M146" i="10"/>
  <c r="M130" i="10"/>
  <c r="M120" i="10"/>
  <c r="M116" i="10"/>
  <c r="M112" i="10"/>
  <c r="M111" i="10"/>
  <c r="M107" i="10"/>
  <c r="M104" i="10"/>
  <c r="M102" i="10"/>
  <c r="M99" i="10"/>
  <c r="M96" i="10"/>
  <c r="M94" i="10"/>
  <c r="M91" i="10"/>
  <c r="M88" i="10"/>
  <c r="M86" i="10"/>
  <c r="M83" i="10"/>
  <c r="M80" i="10"/>
  <c r="M78" i="10"/>
  <c r="M75" i="10"/>
  <c r="M72" i="10"/>
  <c r="M70" i="10"/>
  <c r="M67" i="10"/>
  <c r="M64" i="10"/>
  <c r="M62" i="10"/>
  <c r="M59" i="10"/>
  <c r="M56" i="10"/>
  <c r="M54" i="10"/>
  <c r="M51" i="10"/>
  <c r="M48" i="10"/>
  <c r="M46" i="10"/>
  <c r="M41" i="10"/>
  <c r="M37" i="10"/>
  <c r="M33" i="10"/>
  <c r="M29" i="10"/>
  <c r="M25" i="10"/>
  <c r="M21" i="10"/>
  <c r="M16" i="10"/>
  <c r="M12" i="10"/>
  <c r="M8" i="10"/>
  <c r="M4" i="10"/>
  <c r="M281" i="10"/>
  <c r="M249" i="10"/>
  <c r="M221" i="10"/>
  <c r="M189" i="10"/>
  <c r="M173" i="10"/>
  <c r="M160" i="10"/>
  <c r="M141" i="10"/>
  <c r="M128" i="10"/>
  <c r="M67" i="8"/>
  <c r="M58" i="8"/>
  <c r="M270" i="10"/>
  <c r="M268" i="10"/>
  <c r="M213" i="10"/>
  <c r="M113" i="10"/>
  <c r="M125" i="10"/>
  <c r="M44" i="10"/>
  <c r="M36" i="10"/>
  <c r="M28" i="10"/>
  <c r="M20" i="10"/>
  <c r="M11" i="10"/>
  <c r="K10" i="35"/>
  <c r="E30" i="35"/>
  <c r="I30" i="35"/>
  <c r="K30" i="35"/>
  <c r="M157" i="10"/>
  <c r="M40" i="10"/>
  <c r="M32" i="10"/>
  <c r="M135" i="8"/>
  <c r="M205" i="10"/>
  <c r="M197" i="10"/>
  <c r="M176" i="10"/>
  <c r="M24" i="10"/>
  <c r="M7" i="10"/>
  <c r="M144" i="10"/>
  <c r="M15" i="10"/>
  <c r="M237" i="10"/>
  <c r="M229" i="10"/>
  <c r="M117" i="10"/>
  <c r="E78" i="35"/>
  <c r="I78" i="35"/>
  <c r="K78" i="35"/>
  <c r="E51" i="35"/>
  <c r="I51" i="35"/>
  <c r="K51" i="35"/>
  <c r="R145" i="8"/>
  <c r="R144" i="8"/>
  <c r="R143" i="8"/>
  <c r="R141" i="8"/>
  <c r="R140" i="8"/>
  <c r="R139" i="8"/>
  <c r="R138" i="8"/>
  <c r="R137" i="8"/>
  <c r="R136" i="8"/>
  <c r="R135" i="8"/>
  <c r="R134" i="8"/>
  <c r="R133" i="8"/>
  <c r="R131" i="8"/>
  <c r="R130" i="8"/>
  <c r="R129" i="8"/>
  <c r="R127" i="8"/>
  <c r="R126" i="8"/>
  <c r="R125" i="8"/>
  <c r="R124" i="8"/>
  <c r="R123" i="8"/>
  <c r="R121" i="8"/>
  <c r="R120" i="8"/>
  <c r="R119" i="8"/>
  <c r="R118" i="8"/>
  <c r="R117" i="8"/>
  <c r="R115" i="8"/>
  <c r="R114" i="8"/>
  <c r="R113" i="8"/>
  <c r="R112" i="8"/>
  <c r="R111" i="8"/>
  <c r="R110" i="8"/>
  <c r="R109" i="8"/>
  <c r="R107" i="8"/>
  <c r="R106" i="8"/>
  <c r="R105" i="8"/>
  <c r="R102" i="8"/>
  <c r="R98" i="8"/>
  <c r="R93" i="8"/>
  <c r="R89" i="8"/>
  <c r="R84" i="8"/>
  <c r="R79" i="8"/>
  <c r="R75" i="8"/>
  <c r="R45" i="8"/>
  <c r="R31" i="8"/>
  <c r="R101" i="8"/>
  <c r="R97" i="8"/>
  <c r="R92" i="8"/>
  <c r="R88" i="8"/>
  <c r="R82" i="8"/>
  <c r="R78" i="8"/>
  <c r="R74" i="8"/>
  <c r="R99" i="8"/>
  <c r="R90" i="8"/>
  <c r="R80" i="8"/>
  <c r="R69" i="8"/>
  <c r="R67" i="8"/>
  <c r="R63" i="8"/>
  <c r="R59" i="8"/>
  <c r="R55" i="8"/>
  <c r="R33" i="8"/>
  <c r="R104" i="8"/>
  <c r="R95" i="8"/>
  <c r="R87" i="8"/>
  <c r="R77" i="8"/>
  <c r="R70" i="8"/>
  <c r="R64" i="8"/>
  <c r="R60" i="8"/>
  <c r="R56" i="8"/>
  <c r="R52" i="8"/>
  <c r="R44" i="8"/>
  <c r="R43" i="8"/>
  <c r="R42" i="8"/>
  <c r="R41" i="8"/>
  <c r="R40" i="8"/>
  <c r="R39" i="8"/>
  <c r="R38" i="8"/>
  <c r="R37" i="8"/>
  <c r="R36" i="8"/>
  <c r="R35" i="8"/>
  <c r="R34" i="8"/>
  <c r="R30" i="8"/>
  <c r="R29" i="8"/>
  <c r="R28" i="8"/>
  <c r="R26" i="8"/>
  <c r="R25" i="8"/>
  <c r="R24" i="8"/>
  <c r="R23" i="8"/>
  <c r="R22" i="8"/>
  <c r="R21" i="8"/>
  <c r="R20" i="8"/>
  <c r="R19" i="8"/>
  <c r="R18" i="8"/>
  <c r="R17" i="8"/>
  <c r="R16" i="8"/>
  <c r="R15" i="8"/>
  <c r="R14" i="8"/>
  <c r="R13" i="8"/>
  <c r="R12" i="8"/>
  <c r="R11" i="8"/>
  <c r="R10" i="8"/>
  <c r="R9" i="8"/>
  <c r="R8" i="8"/>
  <c r="R7" i="8"/>
  <c r="R6" i="8"/>
  <c r="R5" i="8"/>
  <c r="R4" i="8"/>
  <c r="R3" i="8"/>
  <c r="R94" i="8"/>
  <c r="R76" i="8"/>
  <c r="R71" i="8"/>
  <c r="R61" i="8"/>
  <c r="R53" i="8"/>
  <c r="R100" i="8"/>
  <c r="R81" i="8"/>
  <c r="R62" i="8"/>
  <c r="R54" i="8"/>
  <c r="R50" i="8"/>
  <c r="R48" i="8"/>
  <c r="R47" i="8"/>
  <c r="R91" i="8"/>
  <c r="R85" i="8"/>
  <c r="R66" i="8"/>
  <c r="R57" i="8"/>
  <c r="R73" i="8"/>
  <c r="R65" i="8"/>
  <c r="K53" i="35"/>
  <c r="R58" i="8"/>
  <c r="R103" i="8"/>
  <c r="R72" i="8"/>
  <c r="J30" i="35"/>
  <c r="N296" i="9"/>
  <c r="N264" i="9"/>
  <c r="N287" i="9"/>
  <c r="N61" i="9"/>
  <c r="N169" i="9"/>
  <c r="N44" i="9"/>
  <c r="N286" i="9"/>
  <c r="N270" i="9"/>
  <c r="N245" i="9"/>
  <c r="N231" i="9"/>
  <c r="N215" i="9"/>
  <c r="N199" i="9"/>
  <c r="N162" i="9"/>
  <c r="I156" i="35"/>
  <c r="E231" i="35"/>
  <c r="I231" i="35"/>
  <c r="J8" i="35"/>
  <c r="K3" i="35"/>
  <c r="N290" i="9"/>
  <c r="N282" i="9"/>
  <c r="N274" i="9"/>
  <c r="N266" i="9"/>
  <c r="N258" i="9"/>
  <c r="N237" i="9"/>
  <c r="N227" i="9"/>
  <c r="N219" i="9"/>
  <c r="N217" i="9"/>
  <c r="N211" i="9"/>
  <c r="N209" i="9"/>
  <c r="N195" i="9"/>
  <c r="N279" i="9"/>
  <c r="N216" i="9"/>
  <c r="N267" i="9"/>
  <c r="N182" i="9"/>
  <c r="N63" i="9"/>
  <c r="N55" i="9"/>
  <c r="N47" i="9"/>
  <c r="N32" i="9"/>
  <c r="F301" i="9"/>
  <c r="G302" i="9"/>
  <c r="G301" i="9"/>
  <c r="G298" i="9"/>
  <c r="G297" i="9"/>
  <c r="G293" i="9"/>
  <c r="G289" i="9"/>
  <c r="G285" i="9"/>
  <c r="G281" i="9"/>
  <c r="G277" i="9"/>
  <c r="G273" i="9"/>
  <c r="G269" i="9"/>
  <c r="G265" i="9"/>
  <c r="G261" i="9"/>
  <c r="F254" i="9"/>
  <c r="N254" i="9"/>
  <c r="F250" i="9"/>
  <c r="F246" i="9"/>
  <c r="F242" i="9"/>
  <c r="F238" i="9"/>
  <c r="F234" i="9"/>
  <c r="F302" i="9"/>
  <c r="F298" i="9"/>
  <c r="N298" i="9"/>
  <c r="F297" i="9"/>
  <c r="N297" i="9"/>
  <c r="F293" i="9"/>
  <c r="F289" i="9"/>
  <c r="F285" i="9"/>
  <c r="N285" i="9"/>
  <c r="F281" i="9"/>
  <c r="N281" i="9"/>
  <c r="F277" i="9"/>
  <c r="F273" i="9"/>
  <c r="F269" i="9"/>
  <c r="N269" i="9"/>
  <c r="F265" i="9"/>
  <c r="N265" i="9"/>
  <c r="F261" i="9"/>
  <c r="M301" i="9"/>
  <c r="M297" i="9"/>
  <c r="M293" i="9"/>
  <c r="M289" i="9"/>
  <c r="M285" i="9"/>
  <c r="M281" i="9"/>
  <c r="M277" i="9"/>
  <c r="M273" i="9"/>
  <c r="M269" i="9"/>
  <c r="M265" i="9"/>
  <c r="M261" i="9"/>
  <c r="M254" i="9"/>
  <c r="M250" i="9"/>
  <c r="M246" i="9"/>
  <c r="M242" i="9"/>
  <c r="M238" i="9"/>
  <c r="M234" i="9"/>
  <c r="F230" i="9"/>
  <c r="F226" i="9"/>
  <c r="N226" i="9"/>
  <c r="F222" i="9"/>
  <c r="F218" i="9"/>
  <c r="F214" i="9"/>
  <c r="F210" i="9"/>
  <c r="F206" i="9"/>
  <c r="F202" i="9"/>
  <c r="F198" i="9"/>
  <c r="F194" i="9"/>
  <c r="N194" i="9"/>
  <c r="M300" i="9"/>
  <c r="N300" i="9"/>
  <c r="F256" i="9"/>
  <c r="N256" i="9"/>
  <c r="F252" i="9"/>
  <c r="N252" i="9"/>
  <c r="F248" i="9"/>
  <c r="N248" i="9"/>
  <c r="F244" i="9"/>
  <c r="F240" i="9"/>
  <c r="N240" i="9"/>
  <c r="F236" i="9"/>
  <c r="N236" i="9"/>
  <c r="G230" i="9"/>
  <c r="G226" i="9"/>
  <c r="G222" i="9"/>
  <c r="G218" i="9"/>
  <c r="G214" i="9"/>
  <c r="G210" i="9"/>
  <c r="G206" i="9"/>
  <c r="G202" i="9"/>
  <c r="G198" i="9"/>
  <c r="G194" i="9"/>
  <c r="F191" i="9"/>
  <c r="F187" i="9"/>
  <c r="N187" i="9"/>
  <c r="F183" i="9"/>
  <c r="N183" i="9"/>
  <c r="F179" i="9"/>
  <c r="F255" i="9"/>
  <c r="F251" i="9"/>
  <c r="N251" i="9"/>
  <c r="F247" i="9"/>
  <c r="N247" i="9"/>
  <c r="F243" i="9"/>
  <c r="F239" i="9"/>
  <c r="F235" i="9"/>
  <c r="N235" i="9"/>
  <c r="G175" i="9"/>
  <c r="G171" i="9"/>
  <c r="G167" i="9"/>
  <c r="G163" i="9"/>
  <c r="G159" i="9"/>
  <c r="G155" i="9"/>
  <c r="G151" i="9"/>
  <c r="F303" i="9"/>
  <c r="N303" i="9"/>
  <c r="G255" i="9"/>
  <c r="G251" i="9"/>
  <c r="G247" i="9"/>
  <c r="G243" i="9"/>
  <c r="G239" i="9"/>
  <c r="G235" i="9"/>
  <c r="F192" i="9"/>
  <c r="F188" i="9"/>
  <c r="F184" i="9"/>
  <c r="N184" i="9"/>
  <c r="F180" i="9"/>
  <c r="M175" i="9"/>
  <c r="M171" i="9"/>
  <c r="M167" i="9"/>
  <c r="M163" i="9"/>
  <c r="M159" i="9"/>
  <c r="M155" i="9"/>
  <c r="M151" i="9"/>
  <c r="F146" i="9"/>
  <c r="F142" i="9"/>
  <c r="F138" i="9"/>
  <c r="N138" i="9"/>
  <c r="F134" i="9"/>
  <c r="N134" i="9"/>
  <c r="F130" i="9"/>
  <c r="F126" i="9"/>
  <c r="F122" i="9"/>
  <c r="N122" i="9"/>
  <c r="F118" i="9"/>
  <c r="N118" i="9"/>
  <c r="F114" i="9"/>
  <c r="F110" i="9"/>
  <c r="G250" i="9"/>
  <c r="G242" i="9"/>
  <c r="G234" i="9"/>
  <c r="M226" i="9"/>
  <c r="M218" i="9"/>
  <c r="M210" i="9"/>
  <c r="M202" i="9"/>
  <c r="M194" i="9"/>
  <c r="M190" i="9"/>
  <c r="N190" i="9"/>
  <c r="M186" i="9"/>
  <c r="N186" i="9"/>
  <c r="M182" i="9"/>
  <c r="M178" i="9"/>
  <c r="N178" i="9"/>
  <c r="F176" i="9"/>
  <c r="G174" i="9"/>
  <c r="N174" i="9"/>
  <c r="F172" i="9"/>
  <c r="N172" i="9"/>
  <c r="G170" i="9"/>
  <c r="N170" i="9"/>
  <c r="F168" i="9"/>
  <c r="N168" i="9"/>
  <c r="G166" i="9"/>
  <c r="N166" i="9"/>
  <c r="F164" i="9"/>
  <c r="G162" i="9"/>
  <c r="F160" i="9"/>
  <c r="G158" i="9"/>
  <c r="N158" i="9"/>
  <c r="F156" i="9"/>
  <c r="N156" i="9"/>
  <c r="G154" i="9"/>
  <c r="N154" i="9"/>
  <c r="F152" i="9"/>
  <c r="N152" i="9"/>
  <c r="G150" i="9"/>
  <c r="N150" i="9"/>
  <c r="F148" i="9"/>
  <c r="F144" i="9"/>
  <c r="N144" i="9"/>
  <c r="F140" i="9"/>
  <c r="F136" i="9"/>
  <c r="N136" i="9"/>
  <c r="F132" i="9"/>
  <c r="N132" i="9"/>
  <c r="F128" i="9"/>
  <c r="N128" i="9"/>
  <c r="F124" i="9"/>
  <c r="N124" i="9"/>
  <c r="F120" i="9"/>
  <c r="N120" i="9"/>
  <c r="F116" i="9"/>
  <c r="F112" i="9"/>
  <c r="N112" i="9"/>
  <c r="F108" i="9"/>
  <c r="G71" i="9"/>
  <c r="G66" i="9"/>
  <c r="G62" i="9"/>
  <c r="G58" i="9"/>
  <c r="G54" i="9"/>
  <c r="G50" i="9"/>
  <c r="G46" i="9"/>
  <c r="G42" i="9"/>
  <c r="M191" i="9"/>
  <c r="M187" i="9"/>
  <c r="M183" i="9"/>
  <c r="M179" i="9"/>
  <c r="M146" i="9"/>
  <c r="M142" i="9"/>
  <c r="M138" i="9"/>
  <c r="M134" i="9"/>
  <c r="M130" i="9"/>
  <c r="M126" i="9"/>
  <c r="M122" i="9"/>
  <c r="M118" i="9"/>
  <c r="M114" i="9"/>
  <c r="M110" i="9"/>
  <c r="M106" i="9"/>
  <c r="M102" i="9"/>
  <c r="M98" i="9"/>
  <c r="M94" i="9"/>
  <c r="M90" i="9"/>
  <c r="M86" i="9"/>
  <c r="M82" i="9"/>
  <c r="M78" i="9"/>
  <c r="M74" i="9"/>
  <c r="F71" i="9"/>
  <c r="F66" i="9"/>
  <c r="F62" i="9"/>
  <c r="F58" i="9"/>
  <c r="F54" i="9"/>
  <c r="F50" i="9"/>
  <c r="F46" i="9"/>
  <c r="F42" i="9"/>
  <c r="G191" i="9"/>
  <c r="G188" i="9"/>
  <c r="G183" i="9"/>
  <c r="G180" i="9"/>
  <c r="F175" i="9"/>
  <c r="F167" i="9"/>
  <c r="N167" i="9"/>
  <c r="F159" i="9"/>
  <c r="F151" i="9"/>
  <c r="M105" i="9"/>
  <c r="F104" i="9"/>
  <c r="N104" i="9"/>
  <c r="M101" i="9"/>
  <c r="F100" i="9"/>
  <c r="M97" i="9"/>
  <c r="N97" i="9"/>
  <c r="F96" i="9"/>
  <c r="N96" i="9"/>
  <c r="M93" i="9"/>
  <c r="F92" i="9"/>
  <c r="M89" i="9"/>
  <c r="F88" i="9"/>
  <c r="M85" i="9"/>
  <c r="F84" i="9"/>
  <c r="M81" i="9"/>
  <c r="F80" i="9"/>
  <c r="N80" i="9"/>
  <c r="M77" i="9"/>
  <c r="F76" i="9"/>
  <c r="M73" i="9"/>
  <c r="G69" i="9"/>
  <c r="G68" i="9"/>
  <c r="N68" i="9"/>
  <c r="F39" i="9"/>
  <c r="N39" i="9"/>
  <c r="G254" i="9"/>
  <c r="G238" i="9"/>
  <c r="M222" i="9"/>
  <c r="M206" i="9"/>
  <c r="G146" i="9"/>
  <c r="G142" i="9"/>
  <c r="G138" i="9"/>
  <c r="G134" i="9"/>
  <c r="G130" i="9"/>
  <c r="G126" i="9"/>
  <c r="G122" i="9"/>
  <c r="G118" i="9"/>
  <c r="G114" i="9"/>
  <c r="G110" i="9"/>
  <c r="G106" i="9"/>
  <c r="G105" i="9"/>
  <c r="G102" i="9"/>
  <c r="G101" i="9"/>
  <c r="N101" i="9"/>
  <c r="G98" i="9"/>
  <c r="G97" i="9"/>
  <c r="G94" i="9"/>
  <c r="G93" i="9"/>
  <c r="N93" i="9"/>
  <c r="G90" i="9"/>
  <c r="G89" i="9"/>
  <c r="G86" i="9"/>
  <c r="G85" i="9"/>
  <c r="N85" i="9"/>
  <c r="G82" i="9"/>
  <c r="G81" i="9"/>
  <c r="G78" i="9"/>
  <c r="G77" i="9"/>
  <c r="N77" i="9"/>
  <c r="G74" i="9"/>
  <c r="G73" i="9"/>
  <c r="F69" i="9"/>
  <c r="M66" i="9"/>
  <c r="M62" i="9"/>
  <c r="M58" i="9"/>
  <c r="M54" i="9"/>
  <c r="M50" i="9"/>
  <c r="M46" i="9"/>
  <c r="M42" i="9"/>
  <c r="M37" i="9"/>
  <c r="M33" i="9"/>
  <c r="M29" i="9"/>
  <c r="M25" i="9"/>
  <c r="M21" i="9"/>
  <c r="M17" i="9"/>
  <c r="M13" i="9"/>
  <c r="M9" i="9"/>
  <c r="M5" i="9"/>
  <c r="G192" i="9"/>
  <c r="G179" i="9"/>
  <c r="F163" i="9"/>
  <c r="G147" i="9"/>
  <c r="G139" i="9"/>
  <c r="G131" i="9"/>
  <c r="G123" i="9"/>
  <c r="G115" i="9"/>
  <c r="G107" i="9"/>
  <c r="G103" i="9"/>
  <c r="G99" i="9"/>
  <c r="G95" i="9"/>
  <c r="G91" i="9"/>
  <c r="G87" i="9"/>
  <c r="G83" i="9"/>
  <c r="G79" i="9"/>
  <c r="G75" i="9"/>
  <c r="M36" i="9"/>
  <c r="F35" i="9"/>
  <c r="M32" i="9"/>
  <c r="F31" i="9"/>
  <c r="N31" i="9"/>
  <c r="M28" i="9"/>
  <c r="F27" i="9"/>
  <c r="M24" i="9"/>
  <c r="F23" i="9"/>
  <c r="M20" i="9"/>
  <c r="F19" i="9"/>
  <c r="M16" i="9"/>
  <c r="F15" i="9"/>
  <c r="N15" i="9"/>
  <c r="M12" i="9"/>
  <c r="F11" i="9"/>
  <c r="M8" i="9"/>
  <c r="N8" i="9"/>
  <c r="F7" i="9"/>
  <c r="M4" i="9"/>
  <c r="F3" i="9"/>
  <c r="M230" i="9"/>
  <c r="M198" i="9"/>
  <c r="F165" i="9"/>
  <c r="N165" i="9"/>
  <c r="F149" i="9"/>
  <c r="N149" i="9"/>
  <c r="F147" i="9"/>
  <c r="N147" i="9"/>
  <c r="F139" i="9"/>
  <c r="N139" i="9"/>
  <c r="F131" i="9"/>
  <c r="N131" i="9"/>
  <c r="F123" i="9"/>
  <c r="N123" i="9"/>
  <c r="F115" i="9"/>
  <c r="N115" i="9"/>
  <c r="F107" i="9"/>
  <c r="N107" i="9"/>
  <c r="F103" i="9"/>
  <c r="N103" i="9"/>
  <c r="F99" i="9"/>
  <c r="N99" i="9"/>
  <c r="F95" i="9"/>
  <c r="F91" i="9"/>
  <c r="N91" i="9"/>
  <c r="F87" i="9"/>
  <c r="N87" i="9"/>
  <c r="F83" i="9"/>
  <c r="N83" i="9"/>
  <c r="F79" i="9"/>
  <c r="N79" i="9"/>
  <c r="F75" i="9"/>
  <c r="N75" i="9"/>
  <c r="M71" i="9"/>
  <c r="M67" i="9"/>
  <c r="G37" i="9"/>
  <c r="G36" i="9"/>
  <c r="N36" i="9"/>
  <c r="G33" i="9"/>
  <c r="G32" i="9"/>
  <c r="G29" i="9"/>
  <c r="G28" i="9"/>
  <c r="G25" i="9"/>
  <c r="G24" i="9"/>
  <c r="N24" i="9"/>
  <c r="G21" i="9"/>
  <c r="G20" i="9"/>
  <c r="N20" i="9"/>
  <c r="G17" i="9"/>
  <c r="G16" i="9"/>
  <c r="N16" i="9"/>
  <c r="G13" i="9"/>
  <c r="G12" i="9"/>
  <c r="G9" i="9"/>
  <c r="G8" i="9"/>
  <c r="G5" i="9"/>
  <c r="G4" i="9"/>
  <c r="N4" i="9"/>
  <c r="G187" i="9"/>
  <c r="G184" i="9"/>
  <c r="F173" i="9"/>
  <c r="N173" i="9"/>
  <c r="G135" i="9"/>
  <c r="G119" i="9"/>
  <c r="M104" i="9"/>
  <c r="M96" i="9"/>
  <c r="M88" i="9"/>
  <c r="M80" i="9"/>
  <c r="M72" i="9"/>
  <c r="F37" i="9"/>
  <c r="N37" i="9"/>
  <c r="F33" i="9"/>
  <c r="N33" i="9"/>
  <c r="F29" i="9"/>
  <c r="F25" i="9"/>
  <c r="F21" i="9"/>
  <c r="N21" i="9"/>
  <c r="F17" i="9"/>
  <c r="N17" i="9"/>
  <c r="F13" i="9"/>
  <c r="F9" i="9"/>
  <c r="F5" i="9"/>
  <c r="N5" i="9"/>
  <c r="M214" i="9"/>
  <c r="F171" i="9"/>
  <c r="F143" i="9"/>
  <c r="F127" i="9"/>
  <c r="N127" i="9"/>
  <c r="F111" i="9"/>
  <c r="F102" i="9"/>
  <c r="F94" i="9"/>
  <c r="F86" i="9"/>
  <c r="N86" i="9"/>
  <c r="F78" i="9"/>
  <c r="N78" i="9"/>
  <c r="M35" i="9"/>
  <c r="M31" i="9"/>
  <c r="M27" i="9"/>
  <c r="M23" i="9"/>
  <c r="M19" i="9"/>
  <c r="M15" i="9"/>
  <c r="M11" i="9"/>
  <c r="M7" i="9"/>
  <c r="M3" i="9"/>
  <c r="F157" i="9"/>
  <c r="G143" i="9"/>
  <c r="G111" i="9"/>
  <c r="F98" i="9"/>
  <c r="F82" i="9"/>
  <c r="F34" i="9"/>
  <c r="F26" i="9"/>
  <c r="N26" i="9"/>
  <c r="F18" i="9"/>
  <c r="N18" i="9"/>
  <c r="F10" i="9"/>
  <c r="F2" i="9"/>
  <c r="F155" i="9"/>
  <c r="N155" i="9"/>
  <c r="F119" i="9"/>
  <c r="N119" i="9"/>
  <c r="M92" i="9"/>
  <c r="M76" i="9"/>
  <c r="G34" i="9"/>
  <c r="G26" i="9"/>
  <c r="G18" i="9"/>
  <c r="G10" i="9"/>
  <c r="G2" i="9"/>
  <c r="F106" i="9"/>
  <c r="N106" i="9"/>
  <c r="F74" i="9"/>
  <c r="N74" i="9"/>
  <c r="F30" i="9"/>
  <c r="N30" i="9"/>
  <c r="F14" i="9"/>
  <c r="N14" i="9"/>
  <c r="M100" i="9"/>
  <c r="G30" i="9"/>
  <c r="G14" i="9"/>
  <c r="F90" i="9"/>
  <c r="N90" i="9"/>
  <c r="G22" i="9"/>
  <c r="G246" i="9"/>
  <c r="F135" i="9"/>
  <c r="F22" i="9"/>
  <c r="N22" i="9"/>
  <c r="G127" i="9"/>
  <c r="M84" i="9"/>
  <c r="F38" i="9"/>
  <c r="N38" i="9"/>
  <c r="G6" i="9"/>
  <c r="F6" i="9"/>
  <c r="G38" i="9"/>
  <c r="G275" i="9"/>
  <c r="F185" i="9"/>
  <c r="N185" i="9"/>
  <c r="G72" i="9"/>
  <c r="M68" i="9"/>
  <c r="F228" i="9"/>
  <c r="N228" i="9"/>
  <c r="G196" i="9"/>
  <c r="M145" i="9"/>
  <c r="N145" i="9"/>
  <c r="G137" i="9"/>
  <c r="F129" i="9"/>
  <c r="N129" i="9"/>
  <c r="M113" i="9"/>
  <c r="N113" i="9"/>
  <c r="G259" i="9"/>
  <c r="N259" i="9"/>
  <c r="F153" i="9"/>
  <c r="N153" i="9"/>
  <c r="M60" i="9"/>
  <c r="G52" i="9"/>
  <c r="M181" i="9"/>
  <c r="G177" i="9"/>
  <c r="M117" i="9"/>
  <c r="N117" i="9"/>
  <c r="F299" i="9"/>
  <c r="N299" i="9"/>
  <c r="M291" i="9"/>
  <c r="G56" i="9"/>
  <c r="N56" i="9"/>
  <c r="M212" i="9"/>
  <c r="N212" i="9"/>
  <c r="M161" i="9"/>
  <c r="F141" i="9"/>
  <c r="N141" i="9"/>
  <c r="F48" i="9"/>
  <c r="N48" i="9"/>
  <c r="F125" i="9"/>
  <c r="N125" i="9"/>
  <c r="I145" i="8"/>
  <c r="I144" i="8"/>
  <c r="I143" i="8"/>
  <c r="I141" i="8"/>
  <c r="I140" i="8"/>
  <c r="I139" i="8"/>
  <c r="I138" i="8"/>
  <c r="I137" i="8"/>
  <c r="I136" i="8"/>
  <c r="I135" i="8"/>
  <c r="I134" i="8"/>
  <c r="I133" i="8"/>
  <c r="I131" i="8"/>
  <c r="I130" i="8"/>
  <c r="I129" i="8"/>
  <c r="I127" i="8"/>
  <c r="I126" i="8"/>
  <c r="I125" i="8"/>
  <c r="I124" i="8"/>
  <c r="I123" i="8"/>
  <c r="I121" i="8"/>
  <c r="I120" i="8"/>
  <c r="I119" i="8"/>
  <c r="I118" i="8"/>
  <c r="I117" i="8"/>
  <c r="I115" i="8"/>
  <c r="I114" i="8"/>
  <c r="I113" i="8"/>
  <c r="I112" i="8"/>
  <c r="I111" i="8"/>
  <c r="I110" i="8"/>
  <c r="I109" i="8"/>
  <c r="I107" i="8"/>
  <c r="I106" i="8"/>
  <c r="I105" i="8"/>
  <c r="I45" i="8"/>
  <c r="I101" i="8"/>
  <c r="I97" i="8"/>
  <c r="I92" i="8"/>
  <c r="I88" i="8"/>
  <c r="I82" i="8"/>
  <c r="I78" i="8"/>
  <c r="I74" i="8"/>
  <c r="I48" i="8"/>
  <c r="I33" i="8"/>
  <c r="I31" i="8"/>
  <c r="I104" i="8"/>
  <c r="I100" i="8"/>
  <c r="I95" i="8"/>
  <c r="I91" i="8"/>
  <c r="I87" i="8"/>
  <c r="I81" i="8"/>
  <c r="I77" i="8"/>
  <c r="I73" i="8"/>
  <c r="I99" i="8"/>
  <c r="I90" i="8"/>
  <c r="I80" i="8"/>
  <c r="I65" i="8"/>
  <c r="I61" i="8"/>
  <c r="I57" i="8"/>
  <c r="I53" i="8"/>
  <c r="I102" i="8"/>
  <c r="I93" i="8"/>
  <c r="I84" i="8"/>
  <c r="I75" i="8"/>
  <c r="I70" i="8"/>
  <c r="I66" i="8"/>
  <c r="I62" i="8"/>
  <c r="I58" i="8"/>
  <c r="I54" i="8"/>
  <c r="I52" i="8"/>
  <c r="I50" i="8"/>
  <c r="I47" i="8"/>
  <c r="I34" i="8"/>
  <c r="I30" i="8"/>
  <c r="I29" i="8"/>
  <c r="I28" i="8"/>
  <c r="I26" i="8"/>
  <c r="I25" i="8"/>
  <c r="I24" i="8"/>
  <c r="I23" i="8"/>
  <c r="I22" i="8"/>
  <c r="I21" i="8"/>
  <c r="I20" i="8"/>
  <c r="I19" i="8"/>
  <c r="I18" i="8"/>
  <c r="I17" i="8"/>
  <c r="I16" i="8"/>
  <c r="I15" i="8"/>
  <c r="I14" i="8"/>
  <c r="I13" i="8"/>
  <c r="I12" i="8"/>
  <c r="I11" i="8"/>
  <c r="I10" i="8"/>
  <c r="I9" i="8"/>
  <c r="I8" i="8"/>
  <c r="I7" i="8"/>
  <c r="I6" i="8"/>
  <c r="I5" i="8"/>
  <c r="I4" i="8"/>
  <c r="I3" i="8"/>
  <c r="I94" i="8"/>
  <c r="I89" i="8"/>
  <c r="I76" i="8"/>
  <c r="I71" i="8"/>
  <c r="I64" i="8"/>
  <c r="I63" i="8"/>
  <c r="I56" i="8"/>
  <c r="I55" i="8"/>
  <c r="I85" i="8"/>
  <c r="I44" i="8"/>
  <c r="I42" i="8"/>
  <c r="I40" i="8"/>
  <c r="I38" i="8"/>
  <c r="I36" i="8"/>
  <c r="I79" i="8"/>
  <c r="I72" i="8"/>
  <c r="I69" i="8"/>
  <c r="I59" i="8"/>
  <c r="I67" i="8"/>
  <c r="I43" i="8"/>
  <c r="I41" i="8"/>
  <c r="I39" i="8"/>
  <c r="I37" i="8"/>
  <c r="I35" i="8"/>
  <c r="I103" i="8"/>
  <c r="I60" i="8"/>
  <c r="I98" i="8"/>
  <c r="E27" i="35"/>
  <c r="I27" i="35"/>
  <c r="K27" i="35"/>
  <c r="K46" i="35"/>
  <c r="I133" i="35"/>
  <c r="K133" i="35"/>
  <c r="E208" i="35"/>
  <c r="I208" i="35"/>
  <c r="K208" i="35"/>
  <c r="N88" i="9"/>
  <c r="N111" i="9"/>
  <c r="N7" i="9"/>
  <c r="N23" i="9"/>
  <c r="N66" i="9"/>
  <c r="J36" i="35"/>
  <c r="K34" i="35"/>
  <c r="J31" i="35"/>
  <c r="K31" i="35"/>
  <c r="N34" i="9"/>
  <c r="N95" i="9"/>
  <c r="N69" i="9"/>
  <c r="N71" i="9"/>
  <c r="N198" i="9"/>
  <c r="N242" i="9"/>
  <c r="K26" i="35"/>
  <c r="J26" i="35"/>
  <c r="N196" i="9"/>
  <c r="N12" i="9"/>
  <c r="N10" i="9"/>
  <c r="N82" i="9"/>
  <c r="N157" i="9"/>
  <c r="N94" i="9"/>
  <c r="N143" i="9"/>
  <c r="N9" i="9"/>
  <c r="N25" i="9"/>
  <c r="N3" i="9"/>
  <c r="N11" i="9"/>
  <c r="N19" i="9"/>
  <c r="N27" i="9"/>
  <c r="N35" i="9"/>
  <c r="N163" i="9"/>
  <c r="N76" i="9"/>
  <c r="N84" i="9"/>
  <c r="N92" i="9"/>
  <c r="N100" i="9"/>
  <c r="N151" i="9"/>
  <c r="N42" i="9"/>
  <c r="N58" i="9"/>
  <c r="N110" i="9"/>
  <c r="N126" i="9"/>
  <c r="N142" i="9"/>
  <c r="N192" i="9"/>
  <c r="N239" i="9"/>
  <c r="N255" i="9"/>
  <c r="N191" i="9"/>
  <c r="N202" i="9"/>
  <c r="N218" i="9"/>
  <c r="N273" i="9"/>
  <c r="N289" i="9"/>
  <c r="N302" i="9"/>
  <c r="N246" i="9"/>
  <c r="N301" i="9"/>
  <c r="E45" i="35"/>
  <c r="I45" i="35"/>
  <c r="E75" i="29"/>
  <c r="E8" i="29"/>
  <c r="E53" i="29"/>
  <c r="H144" i="8"/>
  <c r="H141" i="8"/>
  <c r="H138" i="8"/>
  <c r="H134" i="8"/>
  <c r="H129" i="8"/>
  <c r="H124" i="8"/>
  <c r="H119" i="8"/>
  <c r="H114" i="8"/>
  <c r="H110" i="8"/>
  <c r="H105" i="8"/>
  <c r="H104" i="8"/>
  <c r="H103" i="8"/>
  <c r="H102" i="8"/>
  <c r="H101" i="8"/>
  <c r="H100" i="8"/>
  <c r="H99" i="8"/>
  <c r="H98" i="8"/>
  <c r="H97" i="8"/>
  <c r="H95" i="8"/>
  <c r="H94" i="8"/>
  <c r="H93" i="8"/>
  <c r="H92" i="8"/>
  <c r="H91" i="8"/>
  <c r="H90" i="8"/>
  <c r="H89" i="8"/>
  <c r="H88" i="8"/>
  <c r="H87" i="8"/>
  <c r="H85" i="8"/>
  <c r="H84" i="8"/>
  <c r="H82" i="8"/>
  <c r="H81" i="8"/>
  <c r="H80" i="8"/>
  <c r="H79" i="8"/>
  <c r="H78" i="8"/>
  <c r="H77" i="8"/>
  <c r="H76" i="8"/>
  <c r="H75" i="8"/>
  <c r="H74" i="8"/>
  <c r="H73" i="8"/>
  <c r="H139" i="8"/>
  <c r="H135" i="8"/>
  <c r="H130" i="8"/>
  <c r="H125" i="8"/>
  <c r="H120" i="8"/>
  <c r="H115" i="8"/>
  <c r="H111" i="8"/>
  <c r="H106" i="8"/>
  <c r="H52" i="8"/>
  <c r="H50" i="8"/>
  <c r="H48" i="8"/>
  <c r="H47" i="8"/>
  <c r="H140" i="8"/>
  <c r="H133" i="8"/>
  <c r="H131" i="8"/>
  <c r="H123" i="8"/>
  <c r="H121" i="8"/>
  <c r="H113" i="8"/>
  <c r="H112" i="8"/>
  <c r="H34" i="8"/>
  <c r="H136" i="8"/>
  <c r="H127" i="8"/>
  <c r="H117" i="8"/>
  <c r="H109" i="8"/>
  <c r="H70" i="8"/>
  <c r="H66" i="8"/>
  <c r="H62" i="8"/>
  <c r="H58" i="8"/>
  <c r="H54" i="8"/>
  <c r="H30" i="8"/>
  <c r="H29" i="8"/>
  <c r="H28" i="8"/>
  <c r="H26" i="8"/>
  <c r="H25" i="8"/>
  <c r="H24" i="8"/>
  <c r="H23" i="8"/>
  <c r="H22" i="8"/>
  <c r="H21" i="8"/>
  <c r="H20" i="8"/>
  <c r="H19" i="8"/>
  <c r="H18" i="8"/>
  <c r="H17" i="8"/>
  <c r="H16" i="8"/>
  <c r="H15" i="8"/>
  <c r="H14" i="8"/>
  <c r="H13" i="8"/>
  <c r="H12" i="8"/>
  <c r="H11" i="8"/>
  <c r="H10" i="8"/>
  <c r="H9" i="8"/>
  <c r="H8" i="8"/>
  <c r="H7" i="8"/>
  <c r="H6" i="8"/>
  <c r="H5" i="8"/>
  <c r="H4" i="8"/>
  <c r="H3" i="8"/>
  <c r="I287" i="10"/>
  <c r="I283" i="10"/>
  <c r="I279" i="10"/>
  <c r="I275" i="10"/>
  <c r="I271" i="10"/>
  <c r="I267" i="10"/>
  <c r="I263" i="10"/>
  <c r="I259" i="10"/>
  <c r="I255" i="10"/>
  <c r="I251" i="10"/>
  <c r="I247" i="10"/>
  <c r="I243" i="10"/>
  <c r="I239" i="10"/>
  <c r="H145" i="8"/>
  <c r="H71" i="8"/>
  <c r="H67" i="8"/>
  <c r="H63" i="8"/>
  <c r="H59" i="8"/>
  <c r="H55" i="8"/>
  <c r="H45" i="8"/>
  <c r="H44" i="8"/>
  <c r="H43" i="8"/>
  <c r="H42" i="8"/>
  <c r="H41" i="8"/>
  <c r="H40" i="8"/>
  <c r="H39" i="8"/>
  <c r="H38" i="8"/>
  <c r="H37" i="8"/>
  <c r="H36" i="8"/>
  <c r="H35" i="8"/>
  <c r="H33" i="8"/>
  <c r="I284" i="10"/>
  <c r="E30" i="29"/>
  <c r="H143" i="8"/>
  <c r="H126" i="8"/>
  <c r="H61" i="8"/>
  <c r="H53" i="8"/>
  <c r="I285" i="10"/>
  <c r="I282" i="10"/>
  <c r="I277" i="10"/>
  <c r="I274" i="10"/>
  <c r="I269" i="10"/>
  <c r="I266" i="10"/>
  <c r="Y266" i="10"/>
  <c r="I261" i="10"/>
  <c r="I258" i="10"/>
  <c r="I253" i="10"/>
  <c r="I250" i="10"/>
  <c r="I245" i="10"/>
  <c r="I242" i="10"/>
  <c r="I235" i="10"/>
  <c r="I231" i="10"/>
  <c r="I227" i="10"/>
  <c r="I223" i="10"/>
  <c r="I219" i="10"/>
  <c r="I215" i="10"/>
  <c r="I211" i="10"/>
  <c r="I207" i="10"/>
  <c r="I203" i="10"/>
  <c r="I199" i="10"/>
  <c r="I195" i="10"/>
  <c r="I191" i="10"/>
  <c r="I187" i="10"/>
  <c r="I183" i="10"/>
  <c r="I179" i="10"/>
  <c r="I175" i="10"/>
  <c r="I171" i="10"/>
  <c r="I167" i="10"/>
  <c r="Y167" i="10"/>
  <c r="I163" i="10"/>
  <c r="I159" i="10"/>
  <c r="I155" i="10"/>
  <c r="I151" i="10"/>
  <c r="I147" i="10"/>
  <c r="I143" i="10"/>
  <c r="I139" i="10"/>
  <c r="I135" i="10"/>
  <c r="I131" i="10"/>
  <c r="I127" i="10"/>
  <c r="I123" i="10"/>
  <c r="H137" i="8"/>
  <c r="H69" i="8"/>
  <c r="H60" i="8"/>
  <c r="I280" i="10"/>
  <c r="I272" i="10"/>
  <c r="I264" i="10"/>
  <c r="I256" i="10"/>
  <c r="I248" i="10"/>
  <c r="I240" i="10"/>
  <c r="I236" i="10"/>
  <c r="I232" i="10"/>
  <c r="I228" i="10"/>
  <c r="I224" i="10"/>
  <c r="I220" i="10"/>
  <c r="I216" i="10"/>
  <c r="I212" i="10"/>
  <c r="I208" i="10"/>
  <c r="I204" i="10"/>
  <c r="I200" i="10"/>
  <c r="I196" i="10"/>
  <c r="I192" i="10"/>
  <c r="I188" i="10"/>
  <c r="H107" i="8"/>
  <c r="H31" i="8"/>
  <c r="I276" i="10"/>
  <c r="I273" i="10"/>
  <c r="I260" i="10"/>
  <c r="I257" i="10"/>
  <c r="I244" i="10"/>
  <c r="I241" i="10"/>
  <c r="I180" i="10"/>
  <c r="I172" i="10"/>
  <c r="I164" i="10"/>
  <c r="I156" i="10"/>
  <c r="I148" i="10"/>
  <c r="I140" i="10"/>
  <c r="I132" i="10"/>
  <c r="I124" i="10"/>
  <c r="I119" i="10"/>
  <c r="I115" i="10"/>
  <c r="H57" i="8"/>
  <c r="H56" i="8"/>
  <c r="I270" i="10"/>
  <c r="I254" i="10"/>
  <c r="I237" i="10"/>
  <c r="Y237" i="10"/>
  <c r="I233" i="10"/>
  <c r="I229" i="10"/>
  <c r="I225" i="10"/>
  <c r="I221" i="10"/>
  <c r="Y221" i="10"/>
  <c r="I217" i="10"/>
  <c r="I213" i="10"/>
  <c r="I209" i="10"/>
  <c r="I205" i="10"/>
  <c r="Y205" i="10"/>
  <c r="I201" i="10"/>
  <c r="I197" i="10"/>
  <c r="I193" i="10"/>
  <c r="I189" i="10"/>
  <c r="Y189" i="10"/>
  <c r="I185" i="10"/>
  <c r="I182" i="10"/>
  <c r="I177" i="10"/>
  <c r="I174" i="10"/>
  <c r="Y174" i="10"/>
  <c r="I169" i="10"/>
  <c r="I166" i="10"/>
  <c r="I161" i="10"/>
  <c r="I158" i="10"/>
  <c r="I153" i="10"/>
  <c r="I150" i="10"/>
  <c r="I145" i="10"/>
  <c r="I142" i="10"/>
  <c r="Y142" i="10"/>
  <c r="I137" i="10"/>
  <c r="I134" i="10"/>
  <c r="I129" i="10"/>
  <c r="I126" i="10"/>
  <c r="I118" i="10"/>
  <c r="I114" i="10"/>
  <c r="I109" i="10"/>
  <c r="I105" i="10"/>
  <c r="I101" i="10"/>
  <c r="I97" i="10"/>
  <c r="I93" i="10"/>
  <c r="I89" i="10"/>
  <c r="I85" i="10"/>
  <c r="I81" i="10"/>
  <c r="I77" i="10"/>
  <c r="I73" i="10"/>
  <c r="I69" i="10"/>
  <c r="I65" i="10"/>
  <c r="I61" i="10"/>
  <c r="I57" i="10"/>
  <c r="I53" i="10"/>
  <c r="I49" i="10"/>
  <c r="I45" i="10"/>
  <c r="H65" i="8"/>
  <c r="I265" i="10"/>
  <c r="I252" i="10"/>
  <c r="I184" i="10"/>
  <c r="I181" i="10"/>
  <c r="I168" i="10"/>
  <c r="I165" i="10"/>
  <c r="I152" i="10"/>
  <c r="I149" i="10"/>
  <c r="I136" i="10"/>
  <c r="I133" i="10"/>
  <c r="I108" i="10"/>
  <c r="I103" i="10"/>
  <c r="I100" i="10"/>
  <c r="I95" i="10"/>
  <c r="I92" i="10"/>
  <c r="I87" i="10"/>
  <c r="I84" i="10"/>
  <c r="I79" i="10"/>
  <c r="I76" i="10"/>
  <c r="I71" i="10"/>
  <c r="I68" i="10"/>
  <c r="I63" i="10"/>
  <c r="I60" i="10"/>
  <c r="I55" i="10"/>
  <c r="I52" i="10"/>
  <c r="I47" i="10"/>
  <c r="I43" i="10"/>
  <c r="I39" i="10"/>
  <c r="Y39" i="10"/>
  <c r="I35" i="10"/>
  <c r="I31" i="10"/>
  <c r="I27" i="10"/>
  <c r="I23" i="10"/>
  <c r="Y23" i="10"/>
  <c r="I18" i="10"/>
  <c r="I14" i="10"/>
  <c r="I10" i="10"/>
  <c r="I6" i="10"/>
  <c r="Y6" i="10"/>
  <c r="I262" i="10"/>
  <c r="I234" i="10"/>
  <c r="I226" i="10"/>
  <c r="I218" i="10"/>
  <c r="I210" i="10"/>
  <c r="I202" i="10"/>
  <c r="I194" i="10"/>
  <c r="I186" i="10"/>
  <c r="I178" i="10"/>
  <c r="I162" i="10"/>
  <c r="I146" i="10"/>
  <c r="I130" i="10"/>
  <c r="Y130" i="10"/>
  <c r="I120" i="10"/>
  <c r="I116" i="10"/>
  <c r="I112" i="10"/>
  <c r="I111" i="10"/>
  <c r="Y111" i="10"/>
  <c r="I102" i="10"/>
  <c r="I94" i="10"/>
  <c r="I86" i="10"/>
  <c r="I78" i="10"/>
  <c r="Y78" i="10"/>
  <c r="I70" i="10"/>
  <c r="I62" i="10"/>
  <c r="I54" i="10"/>
  <c r="I46" i="10"/>
  <c r="Y46" i="10"/>
  <c r="I42" i="10"/>
  <c r="I38" i="10"/>
  <c r="I34" i="10"/>
  <c r="I30" i="10"/>
  <c r="I26" i="10"/>
  <c r="I22" i="10"/>
  <c r="I17" i="10"/>
  <c r="I13" i="10"/>
  <c r="I9" i="10"/>
  <c r="I5" i="10"/>
  <c r="H72" i="8"/>
  <c r="I281" i="10"/>
  <c r="I268" i="10"/>
  <c r="I249" i="10"/>
  <c r="I176" i="10"/>
  <c r="I173" i="10"/>
  <c r="Y173" i="10"/>
  <c r="I160" i="10"/>
  <c r="I157" i="10"/>
  <c r="I144" i="10"/>
  <c r="I141" i="10"/>
  <c r="Y141" i="10"/>
  <c r="I128" i="10"/>
  <c r="I125" i="10"/>
  <c r="I107" i="10"/>
  <c r="I104" i="10"/>
  <c r="I99" i="10"/>
  <c r="I96" i="10"/>
  <c r="I91" i="10"/>
  <c r="I88" i="10"/>
  <c r="I83" i="10"/>
  <c r="I80" i="10"/>
  <c r="I75" i="10"/>
  <c r="I72" i="10"/>
  <c r="I67" i="10"/>
  <c r="I64" i="10"/>
  <c r="I59" i="10"/>
  <c r="I56" i="10"/>
  <c r="I51" i="10"/>
  <c r="I48" i="10"/>
  <c r="I41" i="10"/>
  <c r="I37" i="10"/>
  <c r="I33" i="10"/>
  <c r="I29" i="10"/>
  <c r="I25" i="10"/>
  <c r="I21" i="10"/>
  <c r="I16" i="10"/>
  <c r="I12" i="10"/>
  <c r="I8" i="10"/>
  <c r="I4" i="10"/>
  <c r="I286" i="10"/>
  <c r="I238" i="10"/>
  <c r="I206" i="10"/>
  <c r="I170" i="10"/>
  <c r="I138" i="10"/>
  <c r="I113" i="10"/>
  <c r="I106" i="10"/>
  <c r="I98" i="10"/>
  <c r="I90" i="10"/>
  <c r="I82" i="10"/>
  <c r="I74" i="10"/>
  <c r="I66" i="10"/>
  <c r="I58" i="10"/>
  <c r="I50" i="10"/>
  <c r="I230" i="10"/>
  <c r="I198" i="10"/>
  <c r="I117" i="10"/>
  <c r="I190" i="10"/>
  <c r="I122" i="10"/>
  <c r="E75" i="35"/>
  <c r="I75" i="35"/>
  <c r="K75" i="35"/>
  <c r="L90" i="35"/>
  <c r="H118" i="8"/>
  <c r="I222" i="10"/>
  <c r="I278" i="10"/>
  <c r="I40" i="10"/>
  <c r="Y40" i="10"/>
  <c r="I32" i="10"/>
  <c r="I24" i="10"/>
  <c r="I15" i="10"/>
  <c r="I7" i="10"/>
  <c r="Y7" i="10"/>
  <c r="I154" i="10"/>
  <c r="I44" i="10"/>
  <c r="I36" i="10"/>
  <c r="I28" i="10"/>
  <c r="I11" i="10"/>
  <c r="I214" i="10"/>
  <c r="H64" i="8"/>
  <c r="I246" i="10"/>
  <c r="I20" i="10"/>
  <c r="N60" i="9"/>
  <c r="N105" i="9"/>
  <c r="E82" i="29"/>
  <c r="I82" i="29"/>
  <c r="K82" i="29"/>
  <c r="E37" i="29"/>
  <c r="I37" i="29"/>
  <c r="K37" i="29"/>
  <c r="E15" i="29"/>
  <c r="I15" i="29"/>
  <c r="K15" i="29"/>
  <c r="E60" i="29"/>
  <c r="I60" i="29"/>
  <c r="K60" i="29"/>
  <c r="Q144" i="8"/>
  <c r="Q141" i="8"/>
  <c r="Q136" i="8"/>
  <c r="Q131" i="8"/>
  <c r="Q126" i="8"/>
  <c r="Q121" i="8"/>
  <c r="Q117" i="8"/>
  <c r="Q112" i="8"/>
  <c r="Q107" i="8"/>
  <c r="Q104" i="8"/>
  <c r="Q103" i="8"/>
  <c r="Q102" i="8"/>
  <c r="Q101" i="8"/>
  <c r="Q100" i="8"/>
  <c r="Q99" i="8"/>
  <c r="Q98" i="8"/>
  <c r="Q97" i="8"/>
  <c r="Q95" i="8"/>
  <c r="Q94" i="8"/>
  <c r="Q93" i="8"/>
  <c r="Q92" i="8"/>
  <c r="Q91" i="8"/>
  <c r="Q90" i="8"/>
  <c r="Q89" i="8"/>
  <c r="Q88" i="8"/>
  <c r="Q87" i="8"/>
  <c r="Q85" i="8"/>
  <c r="Q84" i="8"/>
  <c r="Q82" i="8"/>
  <c r="Q81" i="8"/>
  <c r="Q80" i="8"/>
  <c r="Q79" i="8"/>
  <c r="Q78" i="8"/>
  <c r="Q77" i="8"/>
  <c r="Q76" i="8"/>
  <c r="Q75" i="8"/>
  <c r="Q74" i="8"/>
  <c r="Q73" i="8"/>
  <c r="Q137" i="8"/>
  <c r="Q133" i="8"/>
  <c r="Q127" i="8"/>
  <c r="Q123" i="8"/>
  <c r="Q118" i="8"/>
  <c r="Q113" i="8"/>
  <c r="Q109" i="8"/>
  <c r="Q50" i="8"/>
  <c r="Q48" i="8"/>
  <c r="Q47" i="8"/>
  <c r="Q45" i="8"/>
  <c r="Q145" i="8"/>
  <c r="Q134" i="8"/>
  <c r="Q124" i="8"/>
  <c r="Q114" i="8"/>
  <c r="Q105" i="8"/>
  <c r="Q33" i="8"/>
  <c r="Q143" i="8"/>
  <c r="Q135" i="8"/>
  <c r="Q125" i="8"/>
  <c r="Q115" i="8"/>
  <c r="Q106" i="8"/>
  <c r="Q72" i="8"/>
  <c r="Q71" i="8"/>
  <c r="Q70" i="8"/>
  <c r="Q69" i="8"/>
  <c r="Q138" i="8"/>
  <c r="Q130" i="8"/>
  <c r="Q119" i="8"/>
  <c r="Q111" i="8"/>
  <c r="Q64" i="8"/>
  <c r="Q60" i="8"/>
  <c r="Q56" i="8"/>
  <c r="Q52" i="8"/>
  <c r="Q44" i="8"/>
  <c r="Q43" i="8"/>
  <c r="Q42" i="8"/>
  <c r="Q41" i="8"/>
  <c r="Q40" i="8"/>
  <c r="Q39" i="8"/>
  <c r="Q38" i="8"/>
  <c r="Q37" i="8"/>
  <c r="Q36" i="8"/>
  <c r="Q35" i="8"/>
  <c r="Q34" i="8"/>
  <c r="Q31" i="8"/>
  <c r="Q30" i="8"/>
  <c r="Q29" i="8"/>
  <c r="Q28" i="8"/>
  <c r="Q26" i="8"/>
  <c r="Q25" i="8"/>
  <c r="Q24" i="8"/>
  <c r="Q23" i="8"/>
  <c r="Q22" i="8"/>
  <c r="Q21" i="8"/>
  <c r="Q20" i="8"/>
  <c r="Q19" i="8"/>
  <c r="Q18" i="8"/>
  <c r="Q17" i="8"/>
  <c r="Q16" i="8"/>
  <c r="Q15" i="8"/>
  <c r="Q14" i="8"/>
  <c r="Q13" i="8"/>
  <c r="Q12" i="8"/>
  <c r="Q11" i="8"/>
  <c r="Q10" i="8"/>
  <c r="Q9" i="8"/>
  <c r="Q8" i="8"/>
  <c r="Q7" i="8"/>
  <c r="Q6" i="8"/>
  <c r="Q5" i="8"/>
  <c r="Q4" i="8"/>
  <c r="Q3" i="8"/>
  <c r="O285" i="10"/>
  <c r="O281" i="10"/>
  <c r="O277" i="10"/>
  <c r="O273" i="10"/>
  <c r="O269" i="10"/>
  <c r="O265" i="10"/>
  <c r="O261" i="10"/>
  <c r="O257" i="10"/>
  <c r="O253" i="10"/>
  <c r="O249" i="10"/>
  <c r="O245" i="10"/>
  <c r="O241" i="10"/>
  <c r="Q65" i="8"/>
  <c r="Q61" i="8"/>
  <c r="Q57" i="8"/>
  <c r="Q53" i="8"/>
  <c r="O286" i="10"/>
  <c r="Q140" i="8"/>
  <c r="Q129" i="8"/>
  <c r="Q63" i="8"/>
  <c r="Q62" i="8"/>
  <c r="Q55" i="8"/>
  <c r="Q54" i="8"/>
  <c r="O287" i="10"/>
  <c r="O283" i="10"/>
  <c r="O279" i="10"/>
  <c r="O276" i="10"/>
  <c r="O271" i="10"/>
  <c r="O268" i="10"/>
  <c r="O263" i="10"/>
  <c r="O260" i="10"/>
  <c r="O255" i="10"/>
  <c r="O252" i="10"/>
  <c r="O247" i="10"/>
  <c r="O244" i="10"/>
  <c r="O239" i="10"/>
  <c r="O237" i="10"/>
  <c r="O233" i="10"/>
  <c r="O229" i="10"/>
  <c r="O225" i="10"/>
  <c r="O221" i="10"/>
  <c r="O217" i="10"/>
  <c r="O213" i="10"/>
  <c r="O209" i="10"/>
  <c r="O205" i="10"/>
  <c r="O201" i="10"/>
  <c r="O197" i="10"/>
  <c r="O193" i="10"/>
  <c r="O189" i="10"/>
  <c r="O185" i="10"/>
  <c r="O181" i="10"/>
  <c r="O177" i="10"/>
  <c r="O173" i="10"/>
  <c r="O169" i="10"/>
  <c r="O165" i="10"/>
  <c r="O161" i="10"/>
  <c r="O157" i="10"/>
  <c r="O153" i="10"/>
  <c r="O149" i="10"/>
  <c r="O145" i="10"/>
  <c r="O141" i="10"/>
  <c r="O137" i="10"/>
  <c r="O133" i="10"/>
  <c r="O129" i="10"/>
  <c r="O125" i="10"/>
  <c r="Q139" i="8"/>
  <c r="O282" i="10"/>
  <c r="O274" i="10"/>
  <c r="O266" i="10"/>
  <c r="O258" i="10"/>
  <c r="O250" i="10"/>
  <c r="O242" i="10"/>
  <c r="O238" i="10"/>
  <c r="O234" i="10"/>
  <c r="O230" i="10"/>
  <c r="O226" i="10"/>
  <c r="O222" i="10"/>
  <c r="O218" i="10"/>
  <c r="O214" i="10"/>
  <c r="O210" i="10"/>
  <c r="O206" i="10"/>
  <c r="O202" i="10"/>
  <c r="O198" i="10"/>
  <c r="O194" i="10"/>
  <c r="O190" i="10"/>
  <c r="O186" i="10"/>
  <c r="Q110" i="8"/>
  <c r="O182" i="10"/>
  <c r="O174" i="10"/>
  <c r="O166" i="10"/>
  <c r="O158" i="10"/>
  <c r="O150" i="10"/>
  <c r="O142" i="10"/>
  <c r="O134" i="10"/>
  <c r="O126" i="10"/>
  <c r="O117" i="10"/>
  <c r="O113" i="10"/>
  <c r="Q66" i="8"/>
  <c r="Q59" i="8"/>
  <c r="O284" i="10"/>
  <c r="O275" i="10"/>
  <c r="O272" i="10"/>
  <c r="O270" i="10"/>
  <c r="O259" i="10"/>
  <c r="O256" i="10"/>
  <c r="O254" i="10"/>
  <c r="O243" i="10"/>
  <c r="O240" i="10"/>
  <c r="O235" i="10"/>
  <c r="O231" i="10"/>
  <c r="O227" i="10"/>
  <c r="O223" i="10"/>
  <c r="O219" i="10"/>
  <c r="O215" i="10"/>
  <c r="O211" i="10"/>
  <c r="O207" i="10"/>
  <c r="O203" i="10"/>
  <c r="O199" i="10"/>
  <c r="O195" i="10"/>
  <c r="O191" i="10"/>
  <c r="O187" i="10"/>
  <c r="O184" i="10"/>
  <c r="O179" i="10"/>
  <c r="O176" i="10"/>
  <c r="O171" i="10"/>
  <c r="O168" i="10"/>
  <c r="O163" i="10"/>
  <c r="O160" i="10"/>
  <c r="O155" i="10"/>
  <c r="O152" i="10"/>
  <c r="O147" i="10"/>
  <c r="O144" i="10"/>
  <c r="O139" i="10"/>
  <c r="O136" i="10"/>
  <c r="O131" i="10"/>
  <c r="O128" i="10"/>
  <c r="O123" i="10"/>
  <c r="O120" i="10"/>
  <c r="O116" i="10"/>
  <c r="O112" i="10"/>
  <c r="O107" i="10"/>
  <c r="O103" i="10"/>
  <c r="O99" i="10"/>
  <c r="O95" i="10"/>
  <c r="O91" i="10"/>
  <c r="O87" i="10"/>
  <c r="O83" i="10"/>
  <c r="O79" i="10"/>
  <c r="O75" i="10"/>
  <c r="O71" i="10"/>
  <c r="O67" i="10"/>
  <c r="O63" i="10"/>
  <c r="O59" i="10"/>
  <c r="O55" i="10"/>
  <c r="O51" i="10"/>
  <c r="O47" i="10"/>
  <c r="Q120" i="8"/>
  <c r="Q67" i="8"/>
  <c r="O278" i="10"/>
  <c r="O246" i="10"/>
  <c r="O111" i="10"/>
  <c r="O105" i="10"/>
  <c r="O102" i="10"/>
  <c r="O97" i="10"/>
  <c r="O94" i="10"/>
  <c r="O89" i="10"/>
  <c r="O86" i="10"/>
  <c r="O81" i="10"/>
  <c r="O78" i="10"/>
  <c r="O73" i="10"/>
  <c r="O70" i="10"/>
  <c r="O65" i="10"/>
  <c r="O62" i="10"/>
  <c r="O57" i="10"/>
  <c r="O54" i="10"/>
  <c r="O49" i="10"/>
  <c r="O46" i="10"/>
  <c r="O41" i="10"/>
  <c r="O37" i="10"/>
  <c r="O33" i="10"/>
  <c r="O29" i="10"/>
  <c r="O25" i="10"/>
  <c r="O21" i="10"/>
  <c r="O16" i="10"/>
  <c r="O12" i="10"/>
  <c r="O8" i="10"/>
  <c r="O4" i="10"/>
  <c r="O280" i="10"/>
  <c r="O267" i="10"/>
  <c r="O248" i="10"/>
  <c r="O236" i="10"/>
  <c r="O228" i="10"/>
  <c r="O220" i="10"/>
  <c r="O212" i="10"/>
  <c r="O204" i="10"/>
  <c r="O196" i="10"/>
  <c r="O188" i="10"/>
  <c r="O183" i="10"/>
  <c r="O180" i="10"/>
  <c r="O178" i="10"/>
  <c r="O167" i="10"/>
  <c r="O164" i="10"/>
  <c r="O162" i="10"/>
  <c r="O151" i="10"/>
  <c r="O148" i="10"/>
  <c r="O146" i="10"/>
  <c r="O135" i="10"/>
  <c r="O132" i="10"/>
  <c r="O130" i="10"/>
  <c r="O118" i="10"/>
  <c r="O114" i="10"/>
  <c r="O104" i="10"/>
  <c r="O96" i="10"/>
  <c r="O88" i="10"/>
  <c r="O80" i="10"/>
  <c r="O72" i="10"/>
  <c r="O64" i="10"/>
  <c r="O56" i="10"/>
  <c r="O48" i="10"/>
  <c r="O44" i="10"/>
  <c r="O40" i="10"/>
  <c r="O36" i="10"/>
  <c r="O32" i="10"/>
  <c r="O28" i="10"/>
  <c r="O24" i="10"/>
  <c r="O20" i="10"/>
  <c r="O15" i="10"/>
  <c r="O11" i="10"/>
  <c r="O7" i="10"/>
  <c r="O262" i="10"/>
  <c r="O109" i="10"/>
  <c r="O106" i="10"/>
  <c r="O101" i="10"/>
  <c r="O98" i="10"/>
  <c r="O93" i="10"/>
  <c r="O90" i="10"/>
  <c r="O85" i="10"/>
  <c r="O82" i="10"/>
  <c r="O77" i="10"/>
  <c r="O74" i="10"/>
  <c r="O69" i="10"/>
  <c r="O66" i="10"/>
  <c r="O61" i="10"/>
  <c r="O58" i="10"/>
  <c r="O53" i="10"/>
  <c r="O50" i="10"/>
  <c r="O45" i="10"/>
  <c r="O43" i="10"/>
  <c r="O39" i="10"/>
  <c r="O35" i="10"/>
  <c r="O31" i="10"/>
  <c r="O27" i="10"/>
  <c r="O23" i="10"/>
  <c r="O18" i="10"/>
  <c r="O14" i="10"/>
  <c r="O10" i="10"/>
  <c r="O6" i="10"/>
  <c r="O264" i="10"/>
  <c r="O251" i="10"/>
  <c r="O216" i="10"/>
  <c r="O172" i="10"/>
  <c r="O159" i="10"/>
  <c r="O140" i="10"/>
  <c r="O127" i="10"/>
  <c r="O115" i="10"/>
  <c r="O208" i="10"/>
  <c r="O170" i="10"/>
  <c r="O138" i="10"/>
  <c r="O119" i="10"/>
  <c r="O124" i="10"/>
  <c r="O100" i="10"/>
  <c r="O84" i="10"/>
  <c r="O68" i="10"/>
  <c r="E101" i="35"/>
  <c r="I101" i="35"/>
  <c r="K101" i="35"/>
  <c r="O108" i="10"/>
  <c r="O52" i="10"/>
  <c r="O200" i="10"/>
  <c r="O192" i="10"/>
  <c r="O175" i="10"/>
  <c r="O122" i="10"/>
  <c r="O42" i="10"/>
  <c r="O34" i="10"/>
  <c r="O26" i="10"/>
  <c r="O17" i="10"/>
  <c r="O9" i="10"/>
  <c r="O156" i="10"/>
  <c r="O92" i="10"/>
  <c r="O76" i="10"/>
  <c r="Q58" i="8"/>
  <c r="O143" i="10"/>
  <c r="O232" i="10"/>
  <c r="O224" i="10"/>
  <c r="O154" i="10"/>
  <c r="O60" i="10"/>
  <c r="O30" i="10"/>
  <c r="O13" i="10"/>
  <c r="O38" i="10"/>
  <c r="O22" i="10"/>
  <c r="O5" i="10"/>
  <c r="E80" i="35"/>
  <c r="I80" i="35"/>
  <c r="K80" i="35"/>
  <c r="J33" i="35"/>
  <c r="K33" i="35"/>
  <c r="N50" i="9"/>
  <c r="N210" i="9"/>
  <c r="N238" i="9"/>
  <c r="N28" i="9"/>
  <c r="N135" i="9"/>
  <c r="N2" i="9"/>
  <c r="N175" i="9"/>
  <c r="N54" i="9"/>
  <c r="N108" i="9"/>
  <c r="N140" i="9"/>
  <c r="N160" i="9"/>
  <c r="N176" i="9"/>
  <c r="N188" i="9"/>
  <c r="N214" i="9"/>
  <c r="N230" i="9"/>
  <c r="L24" i="35"/>
  <c r="K156" i="35"/>
  <c r="L157" i="35"/>
  <c r="N6" i="9"/>
  <c r="N98" i="9"/>
  <c r="N102" i="9"/>
  <c r="N171" i="9"/>
  <c r="N13" i="9"/>
  <c r="N29" i="9"/>
  <c r="N159" i="9"/>
  <c r="N46" i="9"/>
  <c r="N62" i="9"/>
  <c r="N116" i="9"/>
  <c r="N148" i="9"/>
  <c r="N164" i="9"/>
  <c r="N114" i="9"/>
  <c r="N130" i="9"/>
  <c r="N146" i="9"/>
  <c r="N180" i="9"/>
  <c r="N243" i="9"/>
  <c r="N179" i="9"/>
  <c r="N244" i="9"/>
  <c r="N206" i="9"/>
  <c r="N222" i="9"/>
  <c r="N261" i="9"/>
  <c r="N277" i="9"/>
  <c r="N293" i="9"/>
  <c r="N234" i="9"/>
  <c r="N250" i="9"/>
  <c r="K231" i="35"/>
  <c r="L232" i="35"/>
  <c r="N181" i="9"/>
  <c r="N89" i="9"/>
  <c r="J32" i="35"/>
  <c r="K32" i="35"/>
  <c r="Y246" i="10"/>
  <c r="Y28" i="10"/>
  <c r="Y198" i="10"/>
  <c r="Y170" i="10"/>
  <c r="Y4" i="10"/>
  <c r="Y21" i="10"/>
  <c r="Y37" i="10"/>
  <c r="Y72" i="10"/>
  <c r="Y104" i="10"/>
  <c r="Y13" i="10"/>
  <c r="Y30" i="10"/>
  <c r="Y149" i="10"/>
  <c r="Y181" i="10"/>
  <c r="Y126" i="10"/>
  <c r="Y158" i="10"/>
  <c r="Y132" i="10"/>
  <c r="Y244" i="10"/>
  <c r="Y276" i="10"/>
  <c r="Y224" i="10"/>
  <c r="Y240" i="10"/>
  <c r="Y135" i="10"/>
  <c r="Y151" i="10"/>
  <c r="Y250" i="10"/>
  <c r="Y282" i="10"/>
  <c r="Y66" i="10"/>
  <c r="Y98" i="10"/>
  <c r="Y56" i="10"/>
  <c r="Y57" i="10"/>
  <c r="Y89" i="10"/>
  <c r="Y164" i="10"/>
  <c r="Y183" i="10"/>
  <c r="Y263" i="10"/>
  <c r="Y20" i="10"/>
  <c r="Y11" i="10"/>
  <c r="Y154" i="10"/>
  <c r="Y32" i="10"/>
  <c r="Y117" i="10"/>
  <c r="Y58" i="10"/>
  <c r="Y90" i="10"/>
  <c r="Y138" i="10"/>
  <c r="Y286" i="10"/>
  <c r="Y16" i="10"/>
  <c r="Y33" i="10"/>
  <c r="Y51" i="10"/>
  <c r="Y67" i="10"/>
  <c r="Y83" i="10"/>
  <c r="Y99" i="10"/>
  <c r="Y128" i="10"/>
  <c r="Y160" i="10"/>
  <c r="Y268" i="10"/>
  <c r="Y9" i="10"/>
  <c r="Y26" i="10"/>
  <c r="Y42" i="10"/>
  <c r="Y70" i="10"/>
  <c r="Y102" i="10"/>
  <c r="Y120" i="10"/>
  <c r="Y178" i="10"/>
  <c r="Y210" i="10"/>
  <c r="Y262" i="10"/>
  <c r="Y18" i="10"/>
  <c r="Y35" i="10"/>
  <c r="Y52" i="10"/>
  <c r="Y68" i="10"/>
  <c r="Y84" i="10"/>
  <c r="Y100" i="10"/>
  <c r="Y136" i="10"/>
  <c r="Y168" i="10"/>
  <c r="Y265" i="10"/>
  <c r="Y53" i="10"/>
  <c r="Y69" i="10"/>
  <c r="Y85" i="10"/>
  <c r="Y101" i="10"/>
  <c r="Y118" i="10"/>
  <c r="Y137" i="10"/>
  <c r="Y153" i="10"/>
  <c r="Y169" i="10"/>
  <c r="Y185" i="10"/>
  <c r="Y201" i="10"/>
  <c r="Y217" i="10"/>
  <c r="Y233" i="10"/>
  <c r="Y124" i="10"/>
  <c r="Y156" i="10"/>
  <c r="Y241" i="10"/>
  <c r="Y273" i="10"/>
  <c r="Y188" i="10"/>
  <c r="Y204" i="10"/>
  <c r="Y220" i="10"/>
  <c r="Y236" i="10"/>
  <c r="Y264" i="10"/>
  <c r="Y131" i="10"/>
  <c r="Y147" i="10"/>
  <c r="Y163" i="10"/>
  <c r="Y179" i="10"/>
  <c r="Y195" i="10"/>
  <c r="Y211" i="10"/>
  <c r="Y227" i="10"/>
  <c r="Y245" i="10"/>
  <c r="Y261" i="10"/>
  <c r="Y277" i="10"/>
  <c r="Y284" i="10"/>
  <c r="Y243" i="10"/>
  <c r="Y259" i="10"/>
  <c r="Y275" i="10"/>
  <c r="I8" i="29"/>
  <c r="E9" i="29"/>
  <c r="L42" i="35"/>
  <c r="Y73" i="10"/>
  <c r="Y105" i="10"/>
  <c r="Y199" i="10"/>
  <c r="Y247" i="10"/>
  <c r="Y36" i="10"/>
  <c r="Y15" i="10"/>
  <c r="Y278" i="10"/>
  <c r="Y122" i="10"/>
  <c r="Y230" i="10"/>
  <c r="Y74" i="10"/>
  <c r="Y106" i="10"/>
  <c r="Y206" i="10"/>
  <c r="Y8" i="10"/>
  <c r="Y25" i="10"/>
  <c r="Y41" i="10"/>
  <c r="Y59" i="10"/>
  <c r="Y75" i="10"/>
  <c r="Y91" i="10"/>
  <c r="Y107" i="10"/>
  <c r="Y144" i="10"/>
  <c r="Y176" i="10"/>
  <c r="Y17" i="10"/>
  <c r="Y34" i="10"/>
  <c r="Y54" i="10"/>
  <c r="Y86" i="10"/>
  <c r="Y112" i="10"/>
  <c r="Y146" i="10"/>
  <c r="Y194" i="10"/>
  <c r="Y226" i="10"/>
  <c r="Y10" i="10"/>
  <c r="Y27" i="10"/>
  <c r="Y43" i="10"/>
  <c r="Y60" i="10"/>
  <c r="Y76" i="10"/>
  <c r="Y92" i="10"/>
  <c r="Y108" i="10"/>
  <c r="Y152" i="10"/>
  <c r="Y184" i="10"/>
  <c r="Y45" i="10"/>
  <c r="Y61" i="10"/>
  <c r="Y77" i="10"/>
  <c r="Y93" i="10"/>
  <c r="Y109" i="10"/>
  <c r="Y129" i="10"/>
  <c r="Y145" i="10"/>
  <c r="Y161" i="10"/>
  <c r="Y177" i="10"/>
  <c r="Y193" i="10"/>
  <c r="Y209" i="10"/>
  <c r="Y225" i="10"/>
  <c r="Y254" i="10"/>
  <c r="Y115" i="10"/>
  <c r="Y140" i="10"/>
  <c r="Y172" i="10"/>
  <c r="Y257" i="10"/>
  <c r="Y196" i="10"/>
  <c r="Y212" i="10"/>
  <c r="Y228" i="10"/>
  <c r="Y248" i="10"/>
  <c r="Y280" i="10"/>
  <c r="Y123" i="10"/>
  <c r="Y139" i="10"/>
  <c r="Y155" i="10"/>
  <c r="Y171" i="10"/>
  <c r="Y187" i="10"/>
  <c r="Y203" i="10"/>
  <c r="Y219" i="10"/>
  <c r="Y235" i="10"/>
  <c r="Y253" i="10"/>
  <c r="Y269" i="10"/>
  <c r="Y285" i="10"/>
  <c r="Y251" i="10"/>
  <c r="Y267" i="10"/>
  <c r="Y283" i="10"/>
  <c r="J47" i="35"/>
  <c r="K45" i="35"/>
  <c r="L70" i="35"/>
  <c r="Y88" i="10"/>
  <c r="Y281" i="10"/>
  <c r="Y186" i="10"/>
  <c r="Y218" i="10"/>
  <c r="Y55" i="10"/>
  <c r="Y71" i="10"/>
  <c r="Y87" i="10"/>
  <c r="Y103" i="10"/>
  <c r="Y192" i="10"/>
  <c r="Y208" i="10"/>
  <c r="Y272" i="10"/>
  <c r="Y215" i="10"/>
  <c r="Y231" i="10"/>
  <c r="Y279" i="10"/>
  <c r="I75" i="29"/>
  <c r="E76" i="29"/>
  <c r="B56" i="20"/>
  <c r="E56" i="20"/>
  <c r="E60" i="20"/>
  <c r="C38" i="20"/>
  <c r="E38" i="20"/>
  <c r="B11" i="17"/>
  <c r="E11" i="17"/>
  <c r="B26" i="16"/>
  <c r="E26" i="16"/>
  <c r="K112" i="35"/>
  <c r="L113" i="35"/>
  <c r="K135" i="35"/>
  <c r="L136" i="35"/>
  <c r="K210" i="35"/>
  <c r="L211" i="35"/>
  <c r="Y214" i="10"/>
  <c r="Y44" i="10"/>
  <c r="Y24" i="10"/>
  <c r="Y222" i="10"/>
  <c r="Y190" i="10"/>
  <c r="Y50" i="10"/>
  <c r="Y82" i="10"/>
  <c r="Y113" i="10"/>
  <c r="Y238" i="10"/>
  <c r="Y12" i="10"/>
  <c r="Y29" i="10"/>
  <c r="Y48" i="10"/>
  <c r="Y64" i="10"/>
  <c r="Y80" i="10"/>
  <c r="Y96" i="10"/>
  <c r="Y125" i="10"/>
  <c r="Y157" i="10"/>
  <c r="Y249" i="10"/>
  <c r="Y5" i="10"/>
  <c r="Y22" i="10"/>
  <c r="Y38" i="10"/>
  <c r="Y62" i="10"/>
  <c r="Y94" i="10"/>
  <c r="Y116" i="10"/>
  <c r="Y162" i="10"/>
  <c r="Y202" i="10"/>
  <c r="Y234" i="10"/>
  <c r="Y14" i="10"/>
  <c r="Y31" i="10"/>
  <c r="Y47" i="10"/>
  <c r="Y63" i="10"/>
  <c r="Y79" i="10"/>
  <c r="Y95" i="10"/>
  <c r="Y133" i="10"/>
  <c r="Y165" i="10"/>
  <c r="Y252" i="10"/>
  <c r="Y49" i="10"/>
  <c r="Y65" i="10"/>
  <c r="Y81" i="10"/>
  <c r="Y97" i="10"/>
  <c r="Y114" i="10"/>
  <c r="Y134" i="10"/>
  <c r="Y150" i="10"/>
  <c r="Y166" i="10"/>
  <c r="Y182" i="10"/>
  <c r="Y197" i="10"/>
  <c r="Y213" i="10"/>
  <c r="Y229" i="10"/>
  <c r="Y270" i="10"/>
  <c r="Y119" i="10"/>
  <c r="Y148" i="10"/>
  <c r="Y180" i="10"/>
  <c r="Y260" i="10"/>
  <c r="Y200" i="10"/>
  <c r="Y216" i="10"/>
  <c r="Y232" i="10"/>
  <c r="Y256" i="10"/>
  <c r="Y127" i="10"/>
  <c r="Y143" i="10"/>
  <c r="Y159" i="10"/>
  <c r="Y175" i="10"/>
  <c r="Y191" i="10"/>
  <c r="Y207" i="10"/>
  <c r="Y223" i="10"/>
  <c r="Y242" i="10"/>
  <c r="Y258" i="10"/>
  <c r="Y274" i="10"/>
  <c r="I30" i="29"/>
  <c r="E31" i="29"/>
  <c r="Y239" i="10"/>
  <c r="Y255" i="10"/>
  <c r="Y271" i="10"/>
  <c r="Y287" i="10"/>
  <c r="I53" i="29"/>
  <c r="E54" i="29"/>
  <c r="B29" i="16"/>
  <c r="B14" i="17"/>
  <c r="E14" i="17"/>
  <c r="F14" i="17"/>
  <c r="E115" i="35"/>
  <c r="I115" i="35"/>
  <c r="K115" i="35"/>
  <c r="L115" i="35"/>
  <c r="K53" i="29"/>
  <c r="K70" i="29"/>
  <c r="L70" i="29"/>
  <c r="J54" i="29"/>
  <c r="K75" i="29"/>
  <c r="K92" i="29"/>
  <c r="L92" i="29"/>
  <c r="J76" i="29"/>
  <c r="K30" i="29"/>
  <c r="K47" i="29"/>
  <c r="L47" i="29"/>
  <c r="J31" i="29"/>
  <c r="C34" i="20"/>
  <c r="E34" i="20"/>
  <c r="E12" i="2"/>
  <c r="B20" i="16"/>
  <c r="E20" i="16"/>
  <c r="B5" i="17"/>
  <c r="E5" i="17"/>
  <c r="K8" i="29"/>
  <c r="L25" i="29"/>
  <c r="K25" i="29"/>
  <c r="J9" i="29"/>
  <c r="L73" i="35"/>
  <c r="B13" i="17"/>
  <c r="E13" i="17"/>
  <c r="F13" i="17"/>
  <c r="F16" i="17"/>
  <c r="G30" i="17"/>
  <c r="L72" i="35"/>
  <c r="B28" i="16"/>
  <c r="F28" i="16"/>
  <c r="E28" i="16"/>
  <c r="C27" i="20"/>
  <c r="E33" i="2"/>
  <c r="J145" i="8"/>
  <c r="AB145" i="8"/>
  <c r="J144" i="8"/>
  <c r="AB144" i="8"/>
  <c r="J143" i="8"/>
  <c r="AB143" i="8"/>
  <c r="J141" i="8"/>
  <c r="AB141" i="8"/>
  <c r="J140" i="8"/>
  <c r="AB140" i="8"/>
  <c r="J139" i="8"/>
  <c r="AB139" i="8"/>
  <c r="J135" i="8"/>
  <c r="AB135" i="8"/>
  <c r="J130" i="8"/>
  <c r="AB130" i="8"/>
  <c r="J125" i="8"/>
  <c r="AB125" i="8"/>
  <c r="J120" i="8"/>
  <c r="AB120" i="8"/>
  <c r="J115" i="8"/>
  <c r="AB115" i="8"/>
  <c r="J111" i="8"/>
  <c r="AB111" i="8"/>
  <c r="J106" i="8"/>
  <c r="AB106" i="8"/>
  <c r="J136" i="8"/>
  <c r="AB136" i="8"/>
  <c r="J131" i="8"/>
  <c r="AB131" i="8"/>
  <c r="J126" i="8"/>
  <c r="AB126" i="8"/>
  <c r="J121" i="8"/>
  <c r="AB121" i="8"/>
  <c r="J117" i="8"/>
  <c r="AB117" i="8"/>
  <c r="J112" i="8"/>
  <c r="AB112" i="8"/>
  <c r="J107" i="8"/>
  <c r="AB107" i="8"/>
  <c r="J134" i="8"/>
  <c r="AB134" i="8"/>
  <c r="J124" i="8"/>
  <c r="AB124" i="8"/>
  <c r="J114" i="8"/>
  <c r="AB114" i="8"/>
  <c r="J105" i="8"/>
  <c r="AB105" i="8"/>
  <c r="J102" i="8"/>
  <c r="AB102" i="8"/>
  <c r="J98" i="8"/>
  <c r="AB98" i="8"/>
  <c r="J93" i="8"/>
  <c r="AB93" i="8"/>
  <c r="J89" i="8"/>
  <c r="AB89" i="8"/>
  <c r="J84" i="8"/>
  <c r="AB84" i="8"/>
  <c r="J79" i="8"/>
  <c r="AB79" i="8"/>
  <c r="J75" i="8"/>
  <c r="AB75" i="8"/>
  <c r="J72" i="8"/>
  <c r="AB72" i="8"/>
  <c r="J71" i="8"/>
  <c r="AB71" i="8"/>
  <c r="J70" i="8"/>
  <c r="AB70" i="8"/>
  <c r="J69" i="8"/>
  <c r="AB69" i="8"/>
  <c r="J67" i="8"/>
  <c r="AB67" i="8"/>
  <c r="J66" i="8"/>
  <c r="AB66" i="8"/>
  <c r="J65" i="8"/>
  <c r="AB65" i="8"/>
  <c r="J64" i="8"/>
  <c r="AB64" i="8"/>
  <c r="J63" i="8"/>
  <c r="AB63" i="8"/>
  <c r="J62" i="8"/>
  <c r="AB62" i="8"/>
  <c r="J61" i="8"/>
  <c r="AB61" i="8"/>
  <c r="J60" i="8"/>
  <c r="AB60" i="8"/>
  <c r="J59" i="8"/>
  <c r="AB59" i="8"/>
  <c r="J58" i="8"/>
  <c r="AB58" i="8"/>
  <c r="J57" i="8"/>
  <c r="AB57" i="8"/>
  <c r="J56" i="8"/>
  <c r="AB56" i="8"/>
  <c r="J55" i="8"/>
  <c r="AB55" i="8"/>
  <c r="J54" i="8"/>
  <c r="AB54" i="8"/>
  <c r="J53" i="8"/>
  <c r="AB53" i="8"/>
  <c r="J50" i="8"/>
  <c r="AB50" i="8"/>
  <c r="J133" i="8"/>
  <c r="AB133" i="8"/>
  <c r="J123" i="8"/>
  <c r="AB123" i="8"/>
  <c r="J113" i="8"/>
  <c r="AB113" i="8"/>
  <c r="J101" i="8"/>
  <c r="AB101" i="8"/>
  <c r="J97" i="8"/>
  <c r="AB97" i="8"/>
  <c r="J92" i="8"/>
  <c r="AB92" i="8"/>
  <c r="J88" i="8"/>
  <c r="AB88" i="8"/>
  <c r="J82" i="8"/>
  <c r="AB82" i="8"/>
  <c r="J78" i="8"/>
  <c r="AB78" i="8"/>
  <c r="J74" i="8"/>
  <c r="AB74" i="8"/>
  <c r="J138" i="8"/>
  <c r="AB138" i="8"/>
  <c r="J119" i="8"/>
  <c r="AB119" i="8"/>
  <c r="J127" i="8"/>
  <c r="AB127" i="8"/>
  <c r="J109" i="8"/>
  <c r="AB109" i="8"/>
  <c r="J104" i="8"/>
  <c r="AB104" i="8"/>
  <c r="J99" i="8"/>
  <c r="AB99" i="8"/>
  <c r="J95" i="8"/>
  <c r="AB95" i="8"/>
  <c r="J90" i="8"/>
  <c r="AB90" i="8"/>
  <c r="J87" i="8"/>
  <c r="AB87" i="8"/>
  <c r="J80" i="8"/>
  <c r="AB80" i="8"/>
  <c r="J77" i="8"/>
  <c r="AB77" i="8"/>
  <c r="J48" i="8"/>
  <c r="AB48" i="8"/>
  <c r="J129" i="8"/>
  <c r="AB129" i="8"/>
  <c r="J118" i="8"/>
  <c r="AB118" i="8"/>
  <c r="J91" i="8"/>
  <c r="AB91" i="8"/>
  <c r="J73" i="8"/>
  <c r="AB73" i="8"/>
  <c r="J29" i="8"/>
  <c r="AB29" i="8"/>
  <c r="J26" i="8"/>
  <c r="AB26" i="8"/>
  <c r="J24" i="8"/>
  <c r="AB24" i="8"/>
  <c r="J22" i="8"/>
  <c r="AB22" i="8"/>
  <c r="J20" i="8"/>
  <c r="AB20" i="8"/>
  <c r="J18" i="8"/>
  <c r="AB18" i="8"/>
  <c r="J16" i="8"/>
  <c r="AB16" i="8"/>
  <c r="J14" i="8"/>
  <c r="AB14" i="8"/>
  <c r="J12" i="8"/>
  <c r="AB12" i="8"/>
  <c r="J10" i="8"/>
  <c r="AB10" i="8"/>
  <c r="J8" i="8"/>
  <c r="AB8" i="8"/>
  <c r="J6" i="8"/>
  <c r="AB6" i="8"/>
  <c r="J4" i="8"/>
  <c r="AB4" i="8"/>
  <c r="J94" i="8"/>
  <c r="AB94" i="8"/>
  <c r="J76" i="8"/>
  <c r="AB76" i="8"/>
  <c r="J52" i="8"/>
  <c r="AB52" i="8"/>
  <c r="J47" i="8"/>
  <c r="AB47" i="8"/>
  <c r="J110" i="8"/>
  <c r="AB110" i="8"/>
  <c r="J34" i="8"/>
  <c r="AB34" i="8"/>
  <c r="J137" i="8"/>
  <c r="AB137" i="8"/>
  <c r="J103" i="8"/>
  <c r="AB103" i="8"/>
  <c r="J100" i="8"/>
  <c r="AB100" i="8"/>
  <c r="J43" i="8"/>
  <c r="AB43" i="8"/>
  <c r="J41" i="8"/>
  <c r="AB41" i="8"/>
  <c r="J39" i="8"/>
  <c r="AB39" i="8"/>
  <c r="J37" i="8"/>
  <c r="AB37" i="8"/>
  <c r="J35" i="8"/>
  <c r="AB35" i="8"/>
  <c r="J45" i="8"/>
  <c r="AB45" i="8"/>
  <c r="J44" i="8"/>
  <c r="AB44" i="8"/>
  <c r="J42" i="8"/>
  <c r="AB42" i="8"/>
  <c r="J40" i="8"/>
  <c r="AB40" i="8"/>
  <c r="J38" i="8"/>
  <c r="AB38" i="8"/>
  <c r="J36" i="8"/>
  <c r="AB36" i="8"/>
  <c r="J85" i="8"/>
  <c r="AB85" i="8"/>
  <c r="J33" i="8"/>
  <c r="AB33" i="8"/>
  <c r="J31" i="8"/>
  <c r="AB31" i="8"/>
  <c r="J30" i="8"/>
  <c r="AB30" i="8"/>
  <c r="J28" i="8"/>
  <c r="AB28" i="8"/>
  <c r="J25" i="8"/>
  <c r="AB25" i="8"/>
  <c r="J23" i="8"/>
  <c r="AB23" i="8"/>
  <c r="J21" i="8"/>
  <c r="AB21" i="8"/>
  <c r="J19" i="8"/>
  <c r="AB19" i="8"/>
  <c r="J17" i="8"/>
  <c r="AB17" i="8"/>
  <c r="J15" i="8"/>
  <c r="AB15" i="8"/>
  <c r="J13" i="8"/>
  <c r="AB13" i="8"/>
  <c r="J11" i="8"/>
  <c r="AB11" i="8"/>
  <c r="J9" i="8"/>
  <c r="AB9" i="8"/>
  <c r="J7" i="8"/>
  <c r="AB7" i="8"/>
  <c r="J5" i="8"/>
  <c r="AB5" i="8"/>
  <c r="J3" i="8"/>
  <c r="AB3" i="8"/>
  <c r="J81" i="8"/>
  <c r="AB81" i="8"/>
  <c r="F29" i="16"/>
  <c r="E29" i="16"/>
  <c r="B10" i="17"/>
  <c r="E10" i="17"/>
  <c r="B25" i="16"/>
  <c r="E25" i="16"/>
  <c r="C37" i="20"/>
  <c r="E27" i="20"/>
  <c r="G27" i="20"/>
  <c r="AB147" i="8"/>
  <c r="F30" i="16"/>
  <c r="F44" i="16"/>
  <c r="E14" i="2"/>
  <c r="E37" i="20"/>
  <c r="G37" i="20"/>
  <c r="C39" i="20"/>
  <c r="B12" i="17"/>
  <c r="E12" i="17"/>
  <c r="B27" i="16"/>
  <c r="E27" i="16"/>
  <c r="E39" i="20"/>
  <c r="G39" i="20"/>
  <c r="G44" i="20"/>
  <c r="B22" i="16"/>
  <c r="E22" i="16"/>
  <c r="E11" i="2"/>
  <c r="E47" i="20"/>
  <c r="B7" i="17"/>
  <c r="E7" i="17"/>
  <c r="B6" i="17"/>
  <c r="E6" i="17"/>
  <c r="E16" i="17"/>
  <c r="B21" i="16"/>
  <c r="E21" i="16"/>
  <c r="E30" i="16"/>
  <c r="C35" i="20"/>
  <c r="E35" i="20"/>
  <c r="E44" i="20"/>
</calcChain>
</file>

<file path=xl/comments1.xml><?xml version="1.0" encoding="utf-8"?>
<comments xmlns="http://schemas.openxmlformats.org/spreadsheetml/2006/main">
  <authors>
    <author>Bengt Steen</author>
  </authors>
  <commentList>
    <comment ref="A1" authorId="0">
      <text>
        <r>
          <rPr>
            <sz val="9"/>
            <color indexed="81"/>
            <rFont val="Tahoma"/>
            <family val="2"/>
          </rPr>
          <t xml:space="preserve">Factors critical for making satisfiers for basic needs available
</t>
        </r>
      </text>
    </comment>
    <comment ref="C1" authorId="0">
      <text>
        <r>
          <rPr>
            <sz val="9"/>
            <color indexed="81"/>
            <rFont val="Tahoma"/>
            <family val="2"/>
          </rPr>
          <t xml:space="preserve">Entity describing state of safeguard subject. The same as "endpoint impact category indicator" in LCA terminology.
</t>
        </r>
      </text>
    </comment>
    <comment ref="E3" authorId="0">
      <text>
        <r>
          <rPr>
            <sz val="9"/>
            <color indexed="81"/>
            <rFont val="Tahoma"/>
            <family val="2"/>
          </rPr>
          <t>http://faostat.fao.org/site/339/default.aspx for total production and values + IPPC WGII AR5 chapter 7 foreseeing a doubling of price due to food scarcity</t>
        </r>
      </text>
    </comment>
    <comment ref="F3" authorId="0">
      <text>
        <r>
          <rPr>
            <sz val="9"/>
            <color indexed="81"/>
            <rFont val="Tahoma"/>
            <family val="2"/>
          </rPr>
          <t>It is unclear in impact assessments reports how severe impacts from increased UVB radiation are. Daly values between 
0.004 and 0.191 are given in the references cited for the weignting factor</t>
        </r>
      </text>
    </comment>
    <comment ref="E4" authorId="0">
      <text>
        <r>
          <rPr>
            <sz val="9"/>
            <color indexed="81"/>
            <rFont val="Tahoma"/>
            <family val="2"/>
          </rPr>
          <t>http://faostat.fao.org/site/339/default.aspx for total production and values + IPPC WGII AR5 chapter 7 foreseeing a doubling of price due to food scarcity</t>
        </r>
      </text>
    </comment>
    <comment ref="E6" authorId="0">
      <text>
        <r>
          <rPr>
            <sz val="9"/>
            <color indexed="81"/>
            <rFont val="Tahoma"/>
            <family val="2"/>
          </rPr>
          <t>http://faostat.fao.org/site/339/default.aspx for total production and values + IPPC WGII AR5 chapter 7 foreseeing a doubling of price due to food scarcity</t>
        </r>
      </text>
    </comment>
    <comment ref="E7" authorId="0">
      <text>
        <r>
          <rPr>
            <sz val="9"/>
            <color indexed="81"/>
            <rFont val="Tahoma"/>
            <family val="2"/>
          </rPr>
          <t>WTP for film and theater is about 10€/hour, for a ski vacation about the same.</t>
        </r>
      </text>
    </comment>
    <comment ref="E8" authorId="0">
      <text>
        <r>
          <rPr>
            <sz val="9"/>
            <color indexed="81"/>
            <rFont val="Tahoma"/>
            <family val="2"/>
          </rPr>
          <t xml:space="preserve">Typical cost in countries with water scarcity </t>
        </r>
      </text>
    </comment>
    <comment ref="E9" authorId="0">
      <text>
        <r>
          <rPr>
            <sz val="9"/>
            <color indexed="81"/>
            <rFont val="Tahoma"/>
            <family val="2"/>
          </rPr>
          <t>Assumed distribution cost</t>
        </r>
      </text>
    </comment>
    <comment ref="E10" authorId="0">
      <text>
        <r>
          <rPr>
            <sz val="9"/>
            <color indexed="81"/>
            <rFont val="Tahoma"/>
            <family val="2"/>
          </rPr>
          <t xml:space="preserve">The resource value is estimated from restauration costs including external cost from the restauration process. See special worksheet on fossil resources describing the process model.
</t>
        </r>
      </text>
    </comment>
    <comment ref="C85" authorId="0">
      <text>
        <r>
          <rPr>
            <sz val="9"/>
            <color indexed="81"/>
            <rFont val="Tahoma"/>
            <family val="2"/>
          </rPr>
          <t>NEX stands for Normalised EXtinction of species. One NEX is the present global annual extinction of species.</t>
        </r>
      </text>
    </comment>
    <comment ref="E85" authorId="0">
      <text>
        <r>
          <rPr>
            <sz val="9"/>
            <color indexed="81"/>
            <rFont val="Tahoma"/>
            <family val="2"/>
          </rPr>
          <t xml:space="preserve">The quantitative value of biodiverity is not possible to estimate at present. (Mllenium assessment, TEEB, AR5 WGII)
McCarthy et al , Science Vol 338, No 6109, PP 946-949 estimate the total Financial Costs of Meeting Global Biodiversity Conservation Targets to US$ 76.1 billion per year, which equals 56 billion €. 
</t>
        </r>
      </text>
    </comment>
    <comment ref="C87" authorId="0">
      <text>
        <r>
          <rPr>
            <sz val="9"/>
            <color indexed="81"/>
            <rFont val="Tahoma"/>
            <family val="2"/>
          </rPr>
          <t xml:space="preserve">Same as DALY
</t>
        </r>
      </text>
    </comment>
    <comment ref="E87" authorId="0">
      <text>
        <r>
          <rPr>
            <sz val="9"/>
            <color indexed="81"/>
            <rFont val="Tahoma"/>
            <family val="2"/>
          </rPr>
          <t>There are two reasons for this figure. 1) It is used by EU Com for valuing premature deaths (YOLL) from NO2 and O3. 2) It is a reasonable life time average productivity including houshold productivity.</t>
        </r>
      </text>
    </comment>
    <comment ref="F87" authorId="0">
      <text>
        <r>
          <rPr>
            <sz val="9"/>
            <color indexed="81"/>
            <rFont val="Tahoma"/>
            <family val="2"/>
          </rPr>
          <t xml:space="preserve">Most estmations vary between 30000 and 85000€
</t>
        </r>
      </text>
    </comment>
    <comment ref="C88" authorId="0">
      <text>
        <r>
          <rPr>
            <sz val="9"/>
            <color indexed="81"/>
            <rFont val="Tahoma"/>
            <family val="2"/>
          </rPr>
          <t>"Under-nutrition" in AR5</t>
        </r>
      </text>
    </comment>
    <comment ref="E88" authorId="0">
      <text>
        <r>
          <rPr>
            <sz val="9"/>
            <color indexed="81"/>
            <rFont val="Tahoma"/>
            <family val="2"/>
          </rPr>
          <t>WHO: GLOBAL BURDEN OF DISEASE 2004 UPDATE:
DISABILITY WEIGHTS FOR DISEASES AND CONDITIONS</t>
        </r>
      </text>
    </comment>
    <comment ref="F88" authorId="0">
      <text>
        <r>
          <rPr>
            <sz val="9"/>
            <color indexed="81"/>
            <rFont val="Tahoma"/>
            <family val="2"/>
          </rPr>
          <t>WHO: GLOBAL BURDEN OF DISEASE 2004 UPDATE:
DISABILITY WEIGHTS FOR DISEASES AND CONDITIONS</t>
        </r>
      </text>
    </comment>
    <comment ref="E89" authorId="0">
      <text>
        <r>
          <rPr>
            <sz val="9"/>
            <color indexed="81"/>
            <rFont val="Tahoma"/>
            <family val="2"/>
          </rPr>
          <t>WHO: GLOBAL BURDEN OF DISEASE 2004 UPDATE:
DISABILITY WEIGHTS FOR DISEASES AND CONDITIONS</t>
        </r>
      </text>
    </comment>
    <comment ref="F89" authorId="0">
      <text>
        <r>
          <rPr>
            <sz val="9"/>
            <color indexed="81"/>
            <rFont val="Tahoma"/>
            <family val="2"/>
          </rPr>
          <t>WHO: GLOBAL BURDEN OF DISEASE 2004 UPDATE:
DISABILITY WEIGHTS FOR DISEASES AND CONDITIONS</t>
        </r>
      </text>
    </comment>
    <comment ref="E90" authorId="0">
      <text>
        <r>
          <rPr>
            <sz val="9"/>
            <color indexed="81"/>
            <rFont val="Tahoma"/>
            <family val="2"/>
          </rPr>
          <t>WHO: GLOBAL BURDEN OF DISEASE 2004 UPDATE:
DISABILITY WEIGHTS FOR DISEASES AND CONDITIONS</t>
        </r>
      </text>
    </comment>
    <comment ref="F90" authorId="0">
      <text>
        <r>
          <rPr>
            <sz val="9"/>
            <color indexed="81"/>
            <rFont val="Tahoma"/>
            <family val="2"/>
          </rPr>
          <t>WHO: GLOBAL BURDEN OF DISEASE 2004 UPDATE:
DISABILITY WEIGHTS FOR DISEASES AND CONDITIONS</t>
        </r>
      </text>
    </comment>
    <comment ref="E91" authorId="0">
      <text>
        <r>
          <rPr>
            <sz val="9"/>
            <color indexed="81"/>
            <rFont val="Tahoma"/>
            <family val="2"/>
          </rPr>
          <t>No quantitative value have been found in literature. The value of half a DALY is a guess and based on the phsycological research showing that separtions, in particular for young children has severe implications for life. "To part is to die a bit"</t>
        </r>
      </text>
    </comment>
    <comment ref="E92" authorId="0">
      <text>
        <r>
          <rPr>
            <sz val="9"/>
            <color indexed="81"/>
            <rFont val="Tahoma"/>
            <family val="2"/>
          </rPr>
          <t>Change of DALY when going from mild to moderate or from moderate to severe aangina pectoris. (Salomon et al,  Common values in assessing health outcomes from disease and injury: disability weights measurement study for the Global Burden of Disease Study 2010, Lancet Vol 380, December 15/22/29, 2012)</t>
        </r>
      </text>
    </comment>
    <comment ref="F92" authorId="0">
      <text>
        <r>
          <rPr>
            <sz val="9"/>
            <color indexed="81"/>
            <rFont val="Tahoma"/>
            <family val="2"/>
          </rPr>
          <t>The difference in DALY for mild to moderate is 0,03 and from moderate to severe 0,1</t>
        </r>
      </text>
    </comment>
    <comment ref="E93" authorId="0">
      <text>
        <r>
          <rPr>
            <sz val="9"/>
            <color indexed="81"/>
            <rFont val="Tahoma"/>
            <family val="2"/>
          </rPr>
          <t xml:space="preserve">An average of DALY factors (Salomon et al,  Common values in assessing health outcomes from disease and injury: disability weights measurement study for the Global Burden of Disease Study 2010, Lancet Vol 380, December 15/22/29, 2012)
</t>
        </r>
      </text>
    </comment>
    <comment ref="F93" authorId="0">
      <text>
        <r>
          <rPr>
            <sz val="9"/>
            <color indexed="81"/>
            <rFont val="Tahoma"/>
            <family val="2"/>
          </rPr>
          <t>There is significant variation in severity, from 0,03 to 0,7 DALY (Lancet Vol 380 December 15/22/29, 2012)</t>
        </r>
      </text>
    </comment>
    <comment ref="E94" authorId="0">
      <text>
        <r>
          <rPr>
            <sz val="9"/>
            <color indexed="81"/>
            <rFont val="Tahoma"/>
            <family val="2"/>
          </rPr>
          <t xml:space="preserve">Acute myocardial infarction: days 1–2, 0.422 (0.28–0.566) + Acute myocardial infarction: days 1–2, 0.056 (0.035–0.082), Salomon et al. www.thelancet.com Vol 380 December 15/22/29, 2012.
</t>
        </r>
      </text>
    </comment>
    <comment ref="F94" authorId="0">
      <text>
        <r>
          <rPr>
            <sz val="9"/>
            <color indexed="81"/>
            <rFont val="Tahoma"/>
            <family val="2"/>
          </rPr>
          <t xml:space="preserve">Acute myocardial infarction: days 1–2, 0.422 (0.28–0.566) + Acute myocardial infarction: days 1–2, 0.056 (0.035–0.082), Salomon et al. www.thelancet.com Vol 380 December 15/22/29, 2012.
</t>
        </r>
      </text>
    </comment>
    <comment ref="E95" authorId="0">
      <text>
        <r>
          <rPr>
            <sz val="9"/>
            <color indexed="81"/>
            <rFont val="Tahoma"/>
            <family val="2"/>
          </rPr>
          <t>OECD average GDP productivity was 46.5 US$/hour 2012 according to OECD statistics, (http://stats.oecd.org/Index.aspx?DatasetCode=LEVEL) which corrresponds to 58800 € at 1600 working hours per year and current exchange rates (0.79 €/US$) Present OECD conditions are used to represent global averages until 2100.</t>
        </r>
      </text>
    </comment>
    <comment ref="C97" authorId="0">
      <text>
        <r>
          <rPr>
            <sz val="9"/>
            <color indexed="81"/>
            <rFont val="Tahoma"/>
            <family val="2"/>
          </rPr>
          <t>Chronic obstructive pulmonary disease</t>
        </r>
      </text>
    </comment>
    <comment ref="E97" authorId="0">
      <text>
        <r>
          <rPr>
            <sz val="9"/>
            <color indexed="81"/>
            <rFont val="Tahoma"/>
            <family val="2"/>
          </rPr>
          <t>GLOBAL BURDEN OF DISEASE 2004 UPDATE:
DISABILITY WEIGHTS FOR DISEASES AND CONDITIONS, WHO</t>
        </r>
      </text>
    </comment>
    <comment ref="E98" authorId="0">
      <text>
        <r>
          <rPr>
            <sz val="9"/>
            <color indexed="81"/>
            <rFont val="Tahoma"/>
            <family val="2"/>
          </rPr>
          <t xml:space="preserve">GLOBAL BURDEN OF DISEASE 2004 UPDATE:
DISABILITY WEIGHTS FOR DISEASES AND CONDITIONS, WHO
</t>
        </r>
      </text>
    </comment>
    <comment ref="F98" authorId="0">
      <text>
        <r>
          <rPr>
            <sz val="9"/>
            <color indexed="81"/>
            <rFont val="Tahoma"/>
            <family val="2"/>
          </rPr>
          <t xml:space="preserve">DALY factors for different cancer types and phases vary, mostly between 0.1 and 0.5 in terminal phases. </t>
        </r>
      </text>
    </comment>
    <comment ref="E99" authorId="0">
      <text>
        <r>
          <rPr>
            <sz val="9"/>
            <color indexed="81"/>
            <rFont val="Tahoma"/>
            <family val="2"/>
          </rPr>
          <t>GLOBAL BURDEN OF DISEASE 2004 UPDATE:
DISABILITY WEIGHTS FOR DISEASES AND CONDITIONS, WHO</t>
        </r>
      </text>
    </comment>
    <comment ref="C100" authorId="0">
      <text>
        <r>
          <rPr>
            <sz val="9"/>
            <color indexed="81"/>
            <rFont val="Tahoma"/>
            <family val="2"/>
          </rPr>
          <t xml:space="preserve">0.170 for low vision according to WHO GBD 2004, Distance vision: severe impairment 0.191: moderate impairment 0.033 (0.020–0.052) (www.thelancet.com Vol 380 December 15/22/29, 2012)
</t>
        </r>
      </text>
    </comment>
    <comment ref="E100" authorId="0">
      <text>
        <r>
          <rPr>
            <sz val="9"/>
            <color indexed="81"/>
            <rFont val="Tahoma"/>
            <family val="2"/>
          </rPr>
          <t>GLOBAL BURDEN OF DISEASE 2004 UPDATE:
DISABILITY WEIGHTS FOR DISEASES AND CONDITIONS, WHO</t>
        </r>
      </text>
    </comment>
    <comment ref="C101" authorId="0">
      <text>
        <r>
          <rPr>
            <sz val="9"/>
            <color indexed="81"/>
            <rFont val="Tahoma"/>
            <family val="2"/>
          </rPr>
          <t xml:space="preserve">Poisoning: short term, with or without
treatment 
</t>
        </r>
      </text>
    </comment>
    <comment ref="E101" authorId="0">
      <text>
        <r>
          <rPr>
            <sz val="9"/>
            <color indexed="81"/>
            <rFont val="Tahoma"/>
            <family val="2"/>
          </rPr>
          <t>GLOBAL BURDEN OF DISEASE 2004 UPDATE:
DISABILITY WEIGHTS FOR DISEASES AND CONDITIONS, WHO</t>
        </r>
      </text>
    </comment>
    <comment ref="E102" authorId="0">
      <text>
        <r>
          <rPr>
            <sz val="9"/>
            <color indexed="81"/>
            <rFont val="Tahoma"/>
            <family val="2"/>
          </rPr>
          <t xml:space="preserve"> This impact value is not fully representative for IQ effects from Hg and Pb exposure, but the closest found. Data from Global Burden of Disease Study 2010, Lancet Vol 380, December 15/22/29, 2012)</t>
        </r>
      </text>
    </comment>
    <comment ref="E103" authorId="0">
      <text>
        <r>
          <rPr>
            <sz val="9"/>
            <color indexed="81"/>
            <rFont val="Tahoma"/>
            <family val="2"/>
          </rPr>
          <t xml:space="preserve">YLD per case is estimated to 1.28. Searl, Alison, Exposure response functions for HM impacts on human health, Report for WP 6, EU 6th framwork project ESPREME, Estimation of willingness-to-pay to reduce risks of exposure to heavy metals and cost-benefit analysis for reducing heavy metals occurrence in Europe. 
</t>
        </r>
      </text>
    </comment>
    <comment ref="E104" authorId="0">
      <text>
        <r>
          <rPr>
            <sz val="9"/>
            <color indexed="81"/>
            <rFont val="Tahoma"/>
            <family val="2"/>
          </rPr>
          <t xml:space="preserve">YLD per case is estimated to 0.64. Searl, Alison, Exposure response functions for HM impacts on human health, Report for WP 6, EU 6th framwork project ESPREME, Estimation of willingness-to-pay to reduce risks of exposure to heavy metals and cost-benefit analysis for reducing heavy metals occurrence in Europe. 
</t>
        </r>
      </text>
    </comment>
    <comment ref="B105" authorId="0">
      <text>
        <r>
          <rPr>
            <sz val="9"/>
            <color indexed="81"/>
            <rFont val="Tahoma"/>
            <family val="2"/>
          </rPr>
          <t xml:space="preserve">In LCA functions are addressed in the functional unit.  In CBA function values are directly added to negative values of costs.
</t>
        </r>
      </text>
    </comment>
    <comment ref="C106" authorId="0">
      <text>
        <r>
          <rPr>
            <sz val="9"/>
            <color indexed="81"/>
            <rFont val="Tahoma"/>
            <family val="2"/>
          </rPr>
          <t xml:space="preserve">Housing qualifying for satisfaction of basic needs
</t>
        </r>
      </text>
    </comment>
    <comment ref="E106" authorId="0">
      <text>
        <r>
          <rPr>
            <sz val="9"/>
            <color indexed="81"/>
            <rFont val="Tahoma"/>
            <family val="2"/>
          </rPr>
          <t xml:space="preserve">Typical transaction  price  for new dwelling in OECD countries
</t>
        </r>
      </text>
    </comment>
    <comment ref="E107" authorId="0">
      <text>
        <r>
          <rPr>
            <sz val="9"/>
            <color indexed="81"/>
            <rFont val="Tahoma"/>
            <family val="2"/>
          </rPr>
          <t xml:space="preserve">Typical OECD cost
</t>
        </r>
      </text>
    </comment>
    <comment ref="E108" authorId="0">
      <text>
        <r>
          <rPr>
            <sz val="9"/>
            <color indexed="81"/>
            <rFont val="Tahoma"/>
            <family val="2"/>
          </rPr>
          <t>For onshore wind power plants, the specific overnight construction costs are in the range of 1900 to 3700 USD/kWe. (Projected
Costs of Generating Electricity, International Energy Agency 2010)
The grid cost for a normal household is about 120 €/year for a  max consumption of 3 kW, which indicates a grid capacity cost of 800 €/kw if grid lifetime is 20 years.</t>
        </r>
      </text>
    </comment>
    <comment ref="E109" authorId="0">
      <text>
        <r>
          <rPr>
            <sz val="9"/>
            <color indexed="81"/>
            <rFont val="Tahoma"/>
            <family val="2"/>
          </rPr>
          <t xml:space="preserve"> (Projected
Costs of Generating Electricity, International Energy Agency 2010)
</t>
        </r>
      </text>
    </comment>
    <comment ref="E110" authorId="0">
      <text>
        <r>
          <rPr>
            <sz val="9"/>
            <color indexed="81"/>
            <rFont val="Tahoma"/>
            <family val="2"/>
          </rPr>
          <t>Most of the cost for water is capital costs and very little depends on the water flow. A 20 years lifetime for the system is assumed and an average consumption of 1 m3/household and day</t>
        </r>
      </text>
    </comment>
    <comment ref="E111" authorId="0">
      <text>
        <r>
          <rPr>
            <sz val="9"/>
            <color indexed="81"/>
            <rFont val="Tahoma"/>
            <family val="2"/>
          </rPr>
          <t xml:space="preserve">OECD market price
http://www.oecd.org/env/resources/water-therightpricecanencourageefficiencyandinvestment.htm
</t>
        </r>
      </text>
    </comment>
    <comment ref="C112" authorId="0">
      <text>
        <r>
          <rPr>
            <sz val="9"/>
            <color indexed="81"/>
            <rFont val="Tahoma"/>
            <family val="2"/>
          </rPr>
          <t xml:space="preserve">For proteins, fats carbohydrates and other essential nourishment-
</t>
        </r>
      </text>
    </comment>
    <comment ref="E112" authorId="0">
      <text>
        <r>
          <rPr>
            <sz val="9"/>
            <color indexed="81"/>
            <rFont val="Tahoma"/>
            <family val="2"/>
          </rPr>
          <t>The cost for food capitalised for 20 years. The world market price for wheat is now about 0.1€/kg and the price for wheat flower 1€/kg. The world market price for meat is about 2€/kg (1-4€) and the shop price is 20 (10-30) €/kg. This means that 90% of the value in food may be ascribed to the delivery system. Typical cost for food in Sweden is 200€/month, person (Konsumentverket 2014). At a "basic need" itake of 2,2 Mcal/day and a 20 years lifetime we get a deliver capacity value of 200/(2.2*30)*12*20 =727 €/Mcal</t>
        </r>
      </text>
    </comment>
    <comment ref="E113" authorId="0">
      <text>
        <r>
          <rPr>
            <sz val="9"/>
            <color indexed="81"/>
            <rFont val="Tahoma"/>
            <family val="2"/>
          </rPr>
          <t>The world market price for wheat is now about 0.1€/kg and the price for wheat flower 1€/kg. The world market price for meat is about 2€/kg (1-4€) and the shop price is 20 (10-30) €/kg. This means that 90% of the value in food may be ascribed to the delivery system. Typical cost for food in Sweden is 200€/month, person (Konsumentverket 2014). At a "basic need" intake of 2,2 Mcal/day we get a deliver e4fficiency value of 200/(2.2*30) =3,03 €/Mcal</t>
        </r>
      </text>
    </comment>
    <comment ref="E114" authorId="0">
      <text>
        <r>
          <rPr>
            <sz val="9"/>
            <color indexed="81"/>
            <rFont val="Tahoma"/>
            <family val="2"/>
          </rPr>
          <t xml:space="preserve">Assumed yearly consumption 10 kg/person,year, 50€/kg, 20 years lifetime: 
</t>
        </r>
      </text>
    </comment>
    <comment ref="E115" authorId="0">
      <text>
        <r>
          <rPr>
            <sz val="9"/>
            <color indexed="81"/>
            <rFont val="Tahoma"/>
            <family val="2"/>
          </rPr>
          <t xml:space="preserve">approximate market price
</t>
        </r>
      </text>
    </comment>
    <comment ref="E116" authorId="0">
      <text>
        <r>
          <rPr>
            <sz val="9"/>
            <color indexed="81"/>
            <rFont val="Tahoma"/>
            <family val="2"/>
          </rPr>
          <t xml:space="preserve">Present market price for hard disks
</t>
        </r>
      </text>
    </comment>
    <comment ref="E117" authorId="0">
      <text>
        <r>
          <rPr>
            <sz val="9"/>
            <color indexed="81"/>
            <rFont val="Tahoma"/>
            <family val="2"/>
          </rPr>
          <t>Typical speed of downloading documents is 0.5 sek/MB. IT is assumed that a computer life time is 3000 hours and cost is 1000€, i.e. 0.3 EUR/hour.</t>
        </r>
      </text>
    </comment>
    <comment ref="E118" authorId="0">
      <text>
        <r>
          <rPr>
            <sz val="9"/>
            <color indexed="81"/>
            <rFont val="Tahoma"/>
            <family val="2"/>
          </rPr>
          <t xml:space="preserve">Cost for unsused capacity of transports by truck. (Just costs for the truck, when it is not running)
</t>
        </r>
      </text>
    </comment>
    <comment ref="E119" authorId="0">
      <text>
        <r>
          <rPr>
            <sz val="9"/>
            <color indexed="81"/>
            <rFont val="Tahoma"/>
            <family val="2"/>
          </rPr>
          <t>present market price http://www.ppiaf.org/sites/ppiaf.org/files/documents/toolkits/railways_toolkit/ch1_1_4.html</t>
        </r>
      </text>
    </comment>
    <comment ref="E120" authorId="0">
      <text>
        <r>
          <rPr>
            <sz val="9"/>
            <color indexed="81"/>
            <rFont val="Tahoma"/>
            <family val="2"/>
          </rPr>
          <t xml:space="preserve">Cost for a seat in a bus that is nort running.
</t>
        </r>
      </text>
    </comment>
    <comment ref="E121" authorId="0">
      <text>
        <r>
          <rPr>
            <sz val="9"/>
            <color indexed="81"/>
            <rFont val="Tahoma"/>
            <family val="2"/>
          </rPr>
          <t>present market price http://www.ppiaf.org/sites/ppiaf.org/files/documents/toolkits/railways_toolkit/ch1_1_4.html</t>
        </r>
      </text>
    </comment>
    <comment ref="D131" authorId="0">
      <text>
        <r>
          <rPr>
            <sz val="9"/>
            <color indexed="81"/>
            <rFont val="Tahoma"/>
            <family val="2"/>
          </rPr>
          <t xml:space="preserve">There are different definitions of poverty. One is simply linked to income, like "people having to live on less than one $/day". Others are linked to several factors, like education, wellfare, freedom of choice. 
</t>
        </r>
      </text>
    </comment>
    <comment ref="D132" authorId="0">
      <text>
        <r>
          <rPr>
            <sz val="9"/>
            <color indexed="81"/>
            <rFont val="Tahoma"/>
            <family val="2"/>
          </rPr>
          <t xml:space="preserve">E.g. between 20 and 80-percentiles.
</t>
        </r>
      </text>
    </comment>
  </commentList>
</comments>
</file>

<file path=xl/comments10.xml><?xml version="1.0" encoding="utf-8"?>
<comments xmlns="http://schemas.openxmlformats.org/spreadsheetml/2006/main">
  <authors>
    <author>Bengt Steen</author>
  </authors>
  <commentList>
    <comment ref="D1" authorId="0">
      <text>
        <r>
          <rPr>
            <sz val="9"/>
            <color indexed="81"/>
            <rFont val="Tahoma"/>
            <family val="2"/>
          </rPr>
          <t xml:space="preserve">Average ozone production
</t>
        </r>
      </text>
    </comment>
    <comment ref="D3" authorId="0">
      <text>
        <r>
          <rPr>
            <sz val="9"/>
            <color indexed="81"/>
            <rFont val="Tahoma"/>
            <family val="2"/>
          </rPr>
          <t xml:space="preserve">0.14 to 0.36 according to Johanna Altenstedt and Karin Pleijel, IVL report </t>
        </r>
        <r>
          <rPr>
            <i/>
            <sz val="9"/>
            <color indexed="81"/>
            <rFont val="Tahoma"/>
            <family val="2"/>
          </rPr>
          <t>B-1305
Göteborg, Sweden september 1998</t>
        </r>
        <r>
          <rPr>
            <sz val="9"/>
            <color indexed="81"/>
            <rFont val="Tahoma"/>
            <family val="2"/>
          </rPr>
          <t xml:space="preserve">
Derwents POCP (Atmospheric Environment Vol. 32, No. 14/15, pp. 2429Ð2441, 1998) is 12.3, but only representative for one trajectory.
</t>
        </r>
      </text>
    </comment>
    <comment ref="F3" authorId="0">
      <text>
        <r>
          <rPr>
            <sz val="9"/>
            <color indexed="81"/>
            <rFont val="Tahoma"/>
            <family val="2"/>
          </rPr>
          <t xml:space="preserve">Being a very small molecule methane is assumed to contribute to particle formation at a negligable amount
</t>
        </r>
      </text>
    </comment>
    <comment ref="D4" authorId="0">
      <text>
        <r>
          <rPr>
            <sz val="9"/>
            <color indexed="81"/>
            <rFont val="Tahoma"/>
            <family val="2"/>
          </rPr>
          <t xml:space="preserve">0.14 to 0.36 according to Johanna Altenstedt and Karin Pleijel, IVL report </t>
        </r>
        <r>
          <rPr>
            <i/>
            <sz val="9"/>
            <color indexed="81"/>
            <rFont val="Tahoma"/>
            <family val="2"/>
          </rPr>
          <t>B-1305
Göteborg, Sweden september 1998</t>
        </r>
        <r>
          <rPr>
            <sz val="9"/>
            <color indexed="81"/>
            <rFont val="Tahoma"/>
            <family val="2"/>
          </rPr>
          <t xml:space="preserve">
Derwents POCP (Atmospheric Environment Vol. 32, No. 14/15, pp. 2429Ð2441, 1998) is 12.3, but only representative for one trajectory.
</t>
        </r>
      </text>
    </comment>
    <comment ref="F4"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5" authorId="0">
      <text>
        <r>
          <rPr>
            <sz val="9"/>
            <color indexed="81"/>
            <rFont val="Tahoma"/>
            <family val="2"/>
          </rPr>
          <t>0.39-0.71 according to 
ohanna Altenstedt and Karin Pleijel, IVL report B-1305
Göteborg, september 1998</t>
        </r>
      </text>
    </comment>
    <comment ref="F5"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6" authorId="0">
      <text>
        <r>
          <rPr>
            <sz val="9"/>
            <color indexed="81"/>
            <rFont val="Tahoma"/>
            <family val="2"/>
          </rPr>
          <t>0.53-0.92
according to Johanna Altenstedt and Karin Pleijel, IVL report B-1305
Göteborg, Sweden september 1998</t>
        </r>
      </text>
    </comment>
    <comment ref="F6"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7" authorId="0">
      <text>
        <r>
          <rPr>
            <sz val="9"/>
            <color indexed="81"/>
            <rFont val="Tahoma"/>
            <family val="2"/>
          </rPr>
          <t>0.47 - 0.69 according to Johanna Altenstedt and Karin Pleijel, IVL report B-1305
Göteborg, Sweden september 1998</t>
        </r>
      </text>
    </comment>
    <comment ref="F7"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8" authorId="0">
      <text>
        <r>
          <rPr>
            <sz val="9"/>
            <color indexed="81"/>
            <rFont val="Tahoma"/>
            <family val="2"/>
          </rPr>
          <t>0.73-1.16 according to Johanna Altenstedt and Karin Pleijel, IVL report B-1305
Göteborg, Sweden september 1998</t>
        </r>
      </text>
    </comment>
    <comment ref="F8"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9" authorId="0">
      <text>
        <r>
          <rPr>
            <sz val="9"/>
            <color indexed="81"/>
            <rFont val="Tahoma"/>
            <family val="2"/>
          </rPr>
          <t xml:space="preserve">0.25-0.65 according to Johanna Altenstedt and Karin Pleijel, IVL report B-1305
Göteborg, Sweden september 1998
</t>
        </r>
      </text>
    </comment>
    <comment ref="F9"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A10" authorId="0">
      <text>
        <r>
          <rPr>
            <sz val="9"/>
            <color indexed="81"/>
            <rFont val="Tahoma"/>
            <family val="2"/>
          </rPr>
          <t xml:space="preserve">= dimetylpropan
</t>
        </r>
      </text>
    </comment>
    <comment ref="D10" authorId="0">
      <text>
        <r>
          <rPr>
            <sz val="9"/>
            <color indexed="81"/>
            <rFont val="Tahoma"/>
            <family val="2"/>
          </rPr>
          <t xml:space="preserve">Derwent et al. Atmospheric Environment Vol. 32, No. 14/15, pp. 2429Ð2441, 1998
</t>
        </r>
      </text>
    </comment>
    <comment ref="F10"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11" authorId="0">
      <text>
        <r>
          <rPr>
            <sz val="9"/>
            <color indexed="81"/>
            <rFont val="Tahoma"/>
            <family val="2"/>
          </rPr>
          <t>0.81 - 1.28 according to Johanna Altenstedt and Karin Pleijel, IVL report B-1305 Göteborg, Sweden september 1998</t>
        </r>
      </text>
    </comment>
    <comment ref="F11"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12" authorId="0">
      <text>
        <r>
          <rPr>
            <sz val="9"/>
            <color indexed="81"/>
            <rFont val="Tahoma"/>
            <family val="2"/>
          </rPr>
          <t>0.69 - 0.96 according to Johanna Altenstedt and Karin Pleijel, IVL report B-1305 Göteborg, Sweden september 1998</t>
        </r>
      </text>
    </comment>
    <comment ref="F12"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13" authorId="0">
      <text>
        <r>
          <rPr>
            <sz val="9"/>
            <color indexed="81"/>
            <rFont val="Tahoma"/>
            <family val="2"/>
          </rPr>
          <t>0.73 - 1.08 
according to Johanna Altenstedt and Karin Pleijel, IVL report B-1305 Göteborg, Sweden september 1998</t>
        </r>
      </text>
    </comment>
    <comment ref="F13"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14" authorId="0">
      <text>
        <r>
          <rPr>
            <sz val="9"/>
            <color indexed="81"/>
            <rFont val="Tahoma"/>
            <family val="2"/>
          </rPr>
          <t xml:space="preserve">Derwent et al. Atmospheric Environment Vol. 32, No. 14/15, pp. 2429Ð2441, 1998
</t>
        </r>
      </text>
    </comment>
    <comment ref="F14"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15" authorId="0">
      <text>
        <r>
          <rPr>
            <sz val="9"/>
            <color indexed="81"/>
            <rFont val="Tahoma"/>
            <family val="2"/>
          </rPr>
          <t xml:space="preserve">Derwent et al. Atmospheric Environment Vol. 32, No. 14/15, pp. 2429Ð2441, 1998
</t>
        </r>
      </text>
    </comment>
    <comment ref="F15"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16" authorId="0">
      <text>
        <r>
          <rPr>
            <sz val="9"/>
            <color indexed="81"/>
            <rFont val="Tahoma"/>
            <family val="2"/>
          </rPr>
          <t xml:space="preserve">0.76 - 1.23 according to Johanna Altenstedt and Karin Pleijel, IVL report B-1305 Göteborg, Sweden september 1998
</t>
        </r>
      </text>
    </comment>
    <comment ref="F16"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17" authorId="0">
      <text>
        <r>
          <rPr>
            <sz val="9"/>
            <color indexed="81"/>
            <rFont val="Tahoma"/>
            <family val="2"/>
          </rPr>
          <t xml:space="preserve">Derwent et al. Atmospheric Environment Vol. 32, No. 14/15, pp. 2429Ð2441, 1998
</t>
        </r>
      </text>
    </comment>
    <comment ref="F17"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18" authorId="0">
      <text>
        <r>
          <rPr>
            <sz val="9"/>
            <color indexed="81"/>
            <rFont val="Tahoma"/>
            <family val="2"/>
          </rPr>
          <t xml:space="preserve">Derwent et al. Atmospheric Environment Vol. 32, No. 14/15, pp. 2429Ð2441, 1998
</t>
        </r>
      </text>
    </comment>
    <comment ref="F18"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19" authorId="0">
      <text>
        <r>
          <rPr>
            <sz val="9"/>
            <color indexed="81"/>
            <rFont val="Tahoma"/>
            <family val="2"/>
          </rPr>
          <t xml:space="preserve">0.74 - 1.22 according to Johanna Altenstedt and Karin Pleijel, IVL report B-1305 Göteborg, Sweden september 1998
</t>
        </r>
      </text>
    </comment>
    <comment ref="F19"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20" authorId="0">
      <text>
        <r>
          <rPr>
            <sz val="9"/>
            <color indexed="81"/>
            <rFont val="Tahoma"/>
            <family val="2"/>
          </rPr>
          <t xml:space="preserve">0.71 - 1.03 according to Johanna Altenstedt and Karin Pleijel, IVL report B-1305 Göteborg, Sweden september 1998
</t>
        </r>
      </text>
    </comment>
    <comment ref="F20"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21" authorId="0">
      <text>
        <r>
          <rPr>
            <sz val="9"/>
            <color indexed="81"/>
            <rFont val="Tahoma"/>
            <family val="2"/>
          </rPr>
          <t>0.73 - 1.21 according to Johanna Altenstedt and Karin Pleijel, IVL report B-1305 Göteborg, Sweden september 1998</t>
        </r>
      </text>
    </comment>
    <comment ref="F21"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22" authorId="0">
      <text>
        <r>
          <rPr>
            <sz val="9"/>
            <color indexed="81"/>
            <rFont val="Tahoma"/>
            <family val="2"/>
          </rPr>
          <t xml:space="preserve">0.71 - 1.04  according to Johanna Altenstedt and Karin Pleijel, IVL report B-1305 Göteborg, Sweden september 1998
</t>
        </r>
      </text>
    </comment>
    <comment ref="F22"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23" authorId="0">
      <text>
        <r>
          <rPr>
            <sz val="9"/>
            <color indexed="81"/>
            <rFont val="Tahoma"/>
            <family val="2"/>
          </rPr>
          <t xml:space="preserve">0.72 - 1.18  according to Johanna Altenstedt and Karin Pleijel, IVL report B-1305 Göteborg, Sweden september 1998
</t>
        </r>
      </text>
    </comment>
    <comment ref="F23"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24" authorId="0">
      <text>
        <r>
          <rPr>
            <sz val="9"/>
            <color indexed="81"/>
            <rFont val="Tahoma"/>
            <family val="2"/>
          </rPr>
          <t xml:space="preserve">0.71 - 1.05  according to Johanna Altenstedt and Karin Pleijel, IVL report B-1305 Göteborg, Sweden september 1998
</t>
        </r>
      </text>
    </comment>
    <comment ref="F24"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25" authorId="0">
      <text>
        <r>
          <rPr>
            <sz val="9"/>
            <color indexed="81"/>
            <rFont val="Tahoma"/>
            <family val="2"/>
          </rPr>
          <t xml:space="preserve">0.69 - 1.15  according to Johanna Altenstedt and Karin Pleijel, IVL report B-1305 Göteborg, Sweden september 1998
</t>
        </r>
      </text>
    </comment>
    <comment ref="F25"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26" authorId="0">
      <text>
        <r>
          <rPr>
            <sz val="9"/>
            <color indexed="81"/>
            <rFont val="Tahoma"/>
            <family val="2"/>
          </rPr>
          <t xml:space="preserve">0.70 - 1.14  according to Johanna Altenstedt and Karin Pleijel, IVL report B-1305 Göteborg, Sweden september 1998
</t>
        </r>
      </text>
    </comment>
    <comment ref="F26"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28" authorId="0">
      <text>
        <r>
          <rPr>
            <sz val="9"/>
            <color indexed="81"/>
            <rFont val="Tahoma"/>
            <family val="2"/>
          </rPr>
          <t xml:space="preserve">Derwent et al. Atmospheric Environment Vol. 32, No. 14/15, pp. 2429Ð2441, 1998
</t>
        </r>
      </text>
    </comment>
    <comment ref="F28"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29" authorId="0">
      <text>
        <r>
          <rPr>
            <sz val="9"/>
            <color indexed="81"/>
            <rFont val="Tahoma"/>
            <family val="2"/>
          </rPr>
          <t xml:space="preserve">0.38 - 1.12  according to Johanna Altenstedt and Karin Pleijel, IVL report B-1305 Göteborg, Sweden september 1998
</t>
        </r>
      </text>
    </comment>
    <comment ref="F29"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30" authorId="0">
      <text>
        <r>
          <rPr>
            <sz val="9"/>
            <color indexed="81"/>
            <rFont val="Tahoma"/>
            <family val="2"/>
          </rPr>
          <t xml:space="preserve">Derwent et al. Atmospheric Environment Vol. 32, No. 14/15, pp. 2429Ð2441, 1998
</t>
        </r>
      </text>
    </comment>
    <comment ref="F30"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31" authorId="0">
      <text>
        <r>
          <rPr>
            <sz val="9"/>
            <color indexed="81"/>
            <rFont val="Tahoma"/>
            <family val="2"/>
          </rPr>
          <t xml:space="preserve">Derwent et al. Atmospheric Environment Vol. 32, No. 14/15, pp. 2429Ð2441, 1998
</t>
        </r>
      </text>
    </comment>
    <comment ref="F31"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A33" authorId="0">
      <text>
        <r>
          <rPr>
            <sz val="9"/>
            <color indexed="81"/>
            <rFont val="Tahoma"/>
            <family val="2"/>
          </rPr>
          <t xml:space="preserve">Ethene (=ethylene) is produced naturally from vegetation. Anthropogenic ethene is emitted as a tracer from many combustion processes and from handling of gasoline. Emissions from petrochemical plants occur but are not a major source in a global perspective. Ethene in air is present as a gas. The residence time is in the order of days to weeks, depending on the photochemical activity. Emissions from product systems are typically coming from many small ground level sources distributed over large areas
The flow group assessed is anthropogenic emissions of ethene to air, anyplace in the world 1990 and at any source strength. </t>
        </r>
      </text>
    </comment>
    <comment ref="D33" authorId="0">
      <text>
        <r>
          <rPr>
            <sz val="9"/>
            <color indexed="81"/>
            <rFont val="Tahoma"/>
            <family val="2"/>
          </rPr>
          <t xml:space="preserve">Reference substance
</t>
        </r>
      </text>
    </comment>
    <comment ref="F33"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K33" authorId="0">
      <text>
        <r>
          <rPr>
            <sz val="9"/>
            <color indexed="81"/>
            <rFont val="Tahoma"/>
            <family val="2"/>
          </rPr>
          <t>Victorin (Victorin, K., “Risk assessment of carcinogenic air pollutants”, IMM-report 1/98, Karolinska institutet, Stockholm 1998) uses USEPA provisional estimates of the lifetime cancer risk for ethylene-oxide of 1E-4 per </t>
        </r>
        <r>
          <rPr>
            <sz val="9"/>
            <color indexed="81"/>
            <rFont val="Albertus MT"/>
            <family val="1"/>
          </rPr>
          <t>μ</t>
        </r>
        <r>
          <rPr>
            <sz val="9"/>
            <color indexed="81"/>
            <rFont val="Tahoma"/>
            <family val="2"/>
          </rPr>
          <t xml:space="preserve">g/m3 and assumes a metabolisation rate of 5% to estimate the cancer risk for ethylene. This will give a risk estimate of 5E-6 per μg/m3, which is 0.074 times the risk of benzene if assuming the same dispersion patterns as benzene.
</t>
        </r>
      </text>
    </comment>
    <comment ref="D34" authorId="0">
      <text>
        <r>
          <rPr>
            <sz val="9"/>
            <color indexed="81"/>
            <rFont val="Tahoma"/>
            <family val="2"/>
          </rPr>
          <t xml:space="preserve">1.17 - 1.33  according to Johanna Altenstedt and Karin Pleijel, IVL report B-1305 Göteborg, Sweden september 1998
</t>
        </r>
      </text>
    </comment>
    <comment ref="F34"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K34" authorId="0">
      <text>
        <r>
          <rPr>
            <sz val="9"/>
            <color indexed="81"/>
            <rFont val="Tahoma"/>
            <family val="2"/>
          </rPr>
          <t xml:space="preserve">Victorin (Victorin, K., “Risk assessment of carcinogenic air pollutants”, IMM-report 1/98, Karolinska institutet, Stockholm 1998) uses USEPA estimates of the lifetime cancer risk for propylene-oxide for which the lifetime inhalation unit risk is 3.710-6 per g/m3 and assumes a metabolisation rate of 10% to estimate the cancer risk for propylene. This will give an estimate that is 0.074 times the risk of benzene if assuming the same dispersion patterns as benzene.
</t>
        </r>
      </text>
    </comment>
    <comment ref="D35" authorId="0">
      <text>
        <r>
          <rPr>
            <sz val="9"/>
            <color indexed="81"/>
            <rFont val="Tahoma"/>
            <family val="2"/>
          </rPr>
          <t xml:space="preserve">1.15 - 1.37  according to Johanna Altenstedt and Karin Pleijel, IVL report B-1305 Göteborg, Sweden september 1998
</t>
        </r>
      </text>
    </comment>
    <comment ref="F35"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36" authorId="0">
      <text>
        <r>
          <rPr>
            <sz val="9"/>
            <color indexed="81"/>
            <rFont val="Tahoma"/>
            <family val="2"/>
          </rPr>
          <t xml:space="preserve">1.00 - 1.27  according to Johanna Altenstedt and Karin Pleijel, IVL report B-1305 Göteborg, Sweden september 1998
</t>
        </r>
      </text>
    </comment>
    <comment ref="F36"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37" authorId="0">
      <text>
        <r>
          <rPr>
            <sz val="9"/>
            <color indexed="81"/>
            <rFont val="Tahoma"/>
            <family val="2"/>
          </rPr>
          <t xml:space="preserve">Derwent et al. Atmospheric Environment Vol. 32, No. 14/15, pp. 2429Ð2441, 1998
</t>
        </r>
      </text>
    </comment>
    <comment ref="F37"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38" authorId="0">
      <text>
        <r>
          <rPr>
            <sz val="9"/>
            <color indexed="81"/>
            <rFont val="Tahoma"/>
            <family val="2"/>
          </rPr>
          <t xml:space="preserve">1.07 - 1.35  according to Johanna Altenstedt and Karin Pleijel, IVL report B-1305 Göteborg, Sweden september 1998
</t>
        </r>
      </text>
    </comment>
    <comment ref="F38"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39" authorId="0">
      <text>
        <r>
          <rPr>
            <sz val="9"/>
            <color indexed="81"/>
            <rFont val="Tahoma"/>
            <family val="2"/>
          </rPr>
          <t xml:space="preserve">1.16 - 1.41  according to Johanna Altenstedt and Karin Pleijel, IVL report B-1305 Göteborg, Sweden september 1998
</t>
        </r>
      </text>
    </comment>
    <comment ref="F39"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40" authorId="0">
      <text>
        <r>
          <rPr>
            <sz val="9"/>
            <color indexed="81"/>
            <rFont val="Tahoma"/>
            <family val="2"/>
          </rPr>
          <t xml:space="preserve">0.94 - 1.01  according to Johanna Altenstedt and Karin Pleijel, IVL report B-1305 Göteborg, Sweden september 1998
</t>
        </r>
      </text>
    </comment>
    <comment ref="F40"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41" authorId="0">
      <text>
        <r>
          <rPr>
            <sz val="9"/>
            <color indexed="81"/>
            <rFont val="Tahoma"/>
            <family val="2"/>
          </rPr>
          <t xml:space="preserve">0.72 - 1.51  according to Johanna Altenstedt and Karin Pleijel, IVL report B-1305 Göteborg, Sweden september 1998
</t>
        </r>
      </text>
    </comment>
    <comment ref="F41"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42" authorId="0">
      <text>
        <r>
          <rPr>
            <sz val="9"/>
            <color indexed="81"/>
            <rFont val="Tahoma"/>
            <family val="2"/>
          </rPr>
          <t xml:space="preserve">Derwent et al. Atmospheric Environment Vol. 32, No. 14/15, pp. 2429Ð2441, 1998
</t>
        </r>
      </text>
    </comment>
    <comment ref="F42"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43" authorId="0">
      <text>
        <r>
          <rPr>
            <sz val="9"/>
            <color indexed="81"/>
            <rFont val="Tahoma"/>
            <family val="2"/>
          </rPr>
          <t xml:space="preserve">Derwent et al. Atmospheric Environment Vol. 32, No. 14/15, pp. 2429Ð2441, 1998
</t>
        </r>
      </text>
    </comment>
    <comment ref="F43"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44" authorId="0">
      <text>
        <r>
          <rPr>
            <sz val="9"/>
            <color indexed="81"/>
            <rFont val="Tahoma"/>
            <family val="2"/>
          </rPr>
          <t xml:space="preserve">Derwent et al. Atmospheric Environment Vol. 32, No. 14/15, pp. 2429Ð2441, 1998
</t>
        </r>
      </text>
    </comment>
    <comment ref="F44"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A45" authorId="0">
      <text>
        <r>
          <rPr>
            <sz val="9"/>
            <color indexed="81"/>
            <rFont val="Tahoma"/>
            <family val="2"/>
          </rPr>
          <t xml:space="preserve">Butadiene is emitted as a tracer from many combustion processes, such as burning of wood and from car engines. Butadiene in air is present as a gas. The residence time is in the order of days to weeks, depending on the photochemical activity.
The flow group assessed is anthropogenic emissions of butadiene to air, anyplace in the world 1990 and at any source strength. </t>
        </r>
      </text>
    </comment>
    <comment ref="D45" authorId="0">
      <text>
        <r>
          <rPr>
            <sz val="9"/>
            <color indexed="81"/>
            <rFont val="Tahoma"/>
            <family val="2"/>
          </rPr>
          <t xml:space="preserve">Derwent et al. Atmospheric Environment Vol. 32, No. 14/15, pp. 2429Ð2441, 1998
</t>
        </r>
      </text>
    </comment>
    <comment ref="F45"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K45" authorId="0">
      <text>
        <r>
          <rPr>
            <sz val="9"/>
            <color indexed="81"/>
            <rFont val="Tahoma"/>
            <family val="2"/>
          </rPr>
          <t>USEPA estimates the inhalation unit risk for 1,3 Butadiene exposure to 3 × 10-5 per µg/m3. WHO (2010) estmates the life time risk for benzene exposure5 per µg/m3.
Assuming similar dispersion and exposure patterns, the YOLL risk caused by an emission of 1 kg  butadiene is 3/5.9*benzene risk.</t>
        </r>
      </text>
    </comment>
    <comment ref="D47" authorId="0">
      <text>
        <r>
          <rPr>
            <sz val="9"/>
            <color indexed="81"/>
            <rFont val="Tahoma"/>
            <family val="2"/>
          </rPr>
          <t xml:space="preserve">1.34 - 1.69  according to Johanna Altenstedt and Karin Pleijel, IVL report B-1305 Göteborg, Sweden september 1998
</t>
        </r>
      </text>
    </comment>
    <comment ref="F47"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48" authorId="0">
      <text>
        <r>
          <rPr>
            <sz val="9"/>
            <color indexed="81"/>
            <rFont val="Tahoma"/>
            <family val="2"/>
          </rPr>
          <t>0.76 - 1.00  according to Johanna Altenstedt and Karin Pleijel, IVL report B-1305 Göteborg, Sweden september 1998</t>
        </r>
      </text>
    </comment>
    <comment ref="F48"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50" authorId="0">
      <text>
        <r>
          <rPr>
            <sz val="9"/>
            <color indexed="81"/>
            <rFont val="Tahoma"/>
            <family val="2"/>
          </rPr>
          <t xml:space="preserve">0.26 - 0.59  according to Johanna Altenstedt and Karin Pleijel, IVL report B-1305 Göteborg, Sweden september 1998
</t>
        </r>
      </text>
    </comment>
    <comment ref="F50"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52" authorId="0">
      <text>
        <r>
          <rPr>
            <sz val="9"/>
            <color indexed="81"/>
            <rFont val="Tahoma"/>
            <family val="2"/>
          </rPr>
          <t xml:space="preserve">0.23 - 0.47  according to Johanna Altenstedt and Karin Pleijel, IVL report B-1305 Göteborg, Sweden september 1998
</t>
        </r>
      </text>
    </comment>
    <comment ref="F52"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K52" authorId="0">
      <text>
        <r>
          <rPr>
            <sz val="9"/>
            <color indexed="81"/>
            <rFont val="Tahoma"/>
            <family val="2"/>
          </rPr>
          <t xml:space="preserve">The risk for leukemia from cancer is estiamted to 5.9 cases per million among people who experience lifelong exposure to benzene concentrations of 1 μg m−3 in air. (WHO 2010) A study of personal exposure to benzene in air in six european cities showed an average exposure to about 15 </t>
        </r>
        <r>
          <rPr>
            <sz val="9"/>
            <color indexed="81"/>
            <rFont val="Albertus MT"/>
            <family val="1"/>
          </rPr>
          <t>μ</t>
        </r>
        <r>
          <rPr>
            <sz val="9"/>
            <color indexed="81"/>
            <rFont val="Tahoma"/>
            <family val="2"/>
          </rPr>
          <t>g/m3, which was shown to be twice the ambient air exposure. (Cocheo et al. Nature 404, 141-142 (9 March 2000) | doi:10.1038/35004651) Emissions to ambient air of benzene thus causes 6/1000000*7200000000*15/2*1/75 = 4.32E3 cases per year and  5.18E4 YOLLs per year with an expected reduction in life expectancy of 12 years per case.
The global emission of benzene is estimated to 5.6 TgC/year by Henze et al (Atmos. Chem. Phys., 8, 2405–2421, 2008). The average YOLLs/kg benzene is therefore 5.18E4/(5.6E9*28/12) = 3.96E-6</t>
        </r>
      </text>
    </comment>
    <comment ref="D53" authorId="0">
      <text>
        <r>
          <rPr>
            <sz val="9"/>
            <color indexed="81"/>
            <rFont val="Tahoma"/>
            <family val="2"/>
          </rPr>
          <t xml:space="preserve">0.30 - 0.67  according to Johanna Altenstedt and Karin Pleijel, IVL report B-1305 Göteborg, Sweden september 1998
</t>
        </r>
      </text>
    </comment>
    <comment ref="F53"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54" authorId="0">
      <text>
        <r>
          <rPr>
            <sz val="9"/>
            <color indexed="81"/>
            <rFont val="Tahoma"/>
            <family val="2"/>
          </rPr>
          <t xml:space="preserve">0.61 - 0.89  according to Johanna Altenstedt and Karin Pleijel, IVL report B-1305 Göteborg, Sweden september 1998
</t>
        </r>
      </text>
    </comment>
    <comment ref="F54"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55" authorId="0">
      <text>
        <r>
          <rPr>
            <sz val="9"/>
            <color indexed="81"/>
            <rFont val="Tahoma"/>
            <family val="2"/>
          </rPr>
          <t xml:space="preserve">1.02 - 1.14  according to Johanna Altenstedt and Karin Pleijel, IVL report B-1305 Göteborg, Sweden september 1998
</t>
        </r>
      </text>
    </comment>
    <comment ref="F55"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56" authorId="0">
      <text>
        <r>
          <rPr>
            <sz val="9"/>
            <color indexed="81"/>
            <rFont val="Tahoma"/>
            <family val="2"/>
          </rPr>
          <t xml:space="preserve">0.96 - 1.10  according to Johanna Altenstedt and Karin Pleijel, IVL report B-1305 Göteborg, Sweden september 1998
</t>
        </r>
      </text>
    </comment>
    <comment ref="F56"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57" authorId="0">
      <text>
        <r>
          <rPr>
            <sz val="9"/>
            <color indexed="81"/>
            <rFont val="Tahoma"/>
            <family val="2"/>
          </rPr>
          <t xml:space="preserve">0.74 - 0.90  according to Johanna Altenstedt and Karin Pleijel, IVL report B-1305 Göteborg, Sweden september 1998
</t>
        </r>
      </text>
    </comment>
    <comment ref="F57"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58" authorId="0">
      <text>
        <r>
          <rPr>
            <sz val="9"/>
            <color indexed="81"/>
            <rFont val="Tahoma"/>
            <family val="2"/>
          </rPr>
          <t xml:space="preserve">0.58 - 0.66  according to Johanna Altenstedt and Karin Pleijel, IVL report B-1305 Göteborg, Sweden september 1998
</t>
        </r>
      </text>
    </comment>
    <comment ref="F58"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59" authorId="0">
      <text>
        <r>
          <rPr>
            <sz val="9"/>
            <color indexed="81"/>
            <rFont val="Tahoma"/>
            <family val="2"/>
          </rPr>
          <t xml:space="preserve">0.75 - 0.87  according to Johanna Altenstedt and Karin Pleijel, IVL report B-1305 Göteborg, Sweden september 1998
</t>
        </r>
      </text>
    </comment>
    <comment ref="F59"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60" authorId="0">
      <text>
        <r>
          <rPr>
            <sz val="9"/>
            <color indexed="81"/>
            <rFont val="Tahoma"/>
            <family val="2"/>
          </rPr>
          <t xml:space="preserve">0.59 - 0.68  according to Johanna Altenstedt and Karin Pleijel, IVL report B-1305 Göteborg, Sweden september 1998
</t>
        </r>
      </text>
    </comment>
    <comment ref="F60"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61" authorId="0">
      <text>
        <r>
          <rPr>
            <sz val="9"/>
            <color indexed="81"/>
            <rFont val="Tahoma"/>
            <family val="2"/>
          </rPr>
          <t xml:space="preserve">0.94 - 1.08  according to Johanna Altenstedt and Karin Pleijel, IVL report B-1305 Göteborg, Sweden september 1998
</t>
        </r>
      </text>
    </comment>
    <comment ref="F61"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62" authorId="0">
      <text>
        <r>
          <rPr>
            <sz val="9"/>
            <color indexed="81"/>
            <rFont val="Tahoma"/>
            <family val="2"/>
          </rPr>
          <t xml:space="preserve">0.61 - 0.64  according to Johanna Altenstedt and Karin Pleijel, IVL report B-1305 Göteborg, Sweden september 1998
</t>
        </r>
      </text>
    </comment>
    <comment ref="F62"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63" authorId="0">
      <text>
        <r>
          <rPr>
            <sz val="9"/>
            <color indexed="81"/>
            <rFont val="Tahoma"/>
            <family val="2"/>
          </rPr>
          <t xml:space="preserve">0.94 - 0.97  according to Johanna Altenstedt and Karin Pleijel, IVL report B-1305 Göteborg, Sweden september 1998
</t>
        </r>
      </text>
    </comment>
    <comment ref="F63"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64" authorId="0">
      <text>
        <r>
          <rPr>
            <sz val="9"/>
            <color indexed="81"/>
            <rFont val="Tahoma"/>
            <family val="2"/>
          </rPr>
          <t xml:space="preserve">0.70 -0.89  according to Johanna Altenstedt and Karin Pleijel, IVL report B-1305 Göteborg, Sweden september 1998
</t>
        </r>
      </text>
    </comment>
    <comment ref="F64"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65" authorId="0">
      <text>
        <r>
          <rPr>
            <sz val="9"/>
            <color indexed="81"/>
            <rFont val="Tahoma"/>
            <family val="2"/>
          </rPr>
          <t xml:space="preserve">0.59 - 0.67  according to Johanna Altenstedt and Karin Pleijel, IVL report B-1305 Göteborg, Sweden september 1998
</t>
        </r>
      </text>
    </comment>
    <comment ref="F65"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66" authorId="0">
      <text>
        <r>
          <rPr>
            <sz val="9"/>
            <color indexed="81"/>
            <rFont val="Tahoma"/>
            <family val="2"/>
          </rPr>
          <t xml:space="preserve">Derwent et al. Atmospheric Environment Vol. 32, No. 14/15, pp. 2429Ð2441, 1998
</t>
        </r>
      </text>
    </comment>
    <comment ref="F66"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67" authorId="0">
      <text>
        <r>
          <rPr>
            <sz val="9"/>
            <color indexed="81"/>
            <rFont val="Tahoma"/>
            <family val="2"/>
          </rPr>
          <t xml:space="preserve">Derwent et al. Atmospheric Environment Vol. 32, No. 14/15, pp. 2429Ð2441, 1998
</t>
        </r>
      </text>
    </comment>
    <comment ref="F67"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69" authorId="0">
      <text>
        <r>
          <rPr>
            <sz val="9"/>
            <color indexed="81"/>
            <rFont val="Tahoma"/>
            <family val="2"/>
          </rPr>
          <t>0.13 - 0.21  according to Johanna Altenstedt and Karin Pleijel, IVL report B-1305 Göteborg, Sweden september 1998</t>
        </r>
      </text>
    </comment>
    <comment ref="F69"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70" authorId="0">
      <text>
        <r>
          <rPr>
            <sz val="9"/>
            <color indexed="81"/>
            <rFont val="Tahoma"/>
            <family val="2"/>
          </rPr>
          <t xml:space="preserve">0.44 - 0.63  according to Johanna Altenstedt and Karin Pleijel, IVL report B-1305 Göteborg, Sweden september 1998
</t>
        </r>
      </text>
    </comment>
    <comment ref="F70"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71" authorId="0">
      <text>
        <r>
          <rPr>
            <sz val="9"/>
            <color indexed="81"/>
            <rFont val="Tahoma"/>
            <family val="2"/>
          </rPr>
          <t xml:space="preserve">Derwent et al. Atmospheric Environment Vol. 32, No. 14/15, pp. 2429Ð2441, 1998
</t>
        </r>
      </text>
    </comment>
    <comment ref="F71"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72" authorId="0">
      <text>
        <r>
          <rPr>
            <sz val="9"/>
            <color indexed="81"/>
            <rFont val="Tahoma"/>
            <family val="2"/>
          </rPr>
          <t xml:space="preserve">0.37 - 0.43  according to Johanna Altenstedt and Karin Pleijel, IVL report B-1305 Göteborg, Sweden september 1998
</t>
        </r>
      </text>
    </comment>
    <comment ref="F72"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73" authorId="0">
      <text>
        <r>
          <rPr>
            <sz val="9"/>
            <color indexed="81"/>
            <rFont val="Tahoma"/>
            <family val="2"/>
          </rPr>
          <t xml:space="preserve">0.63 - 0.95  according to Johanna Altenstedt and Karin Pleijel, IVL report B-1305 Göteborg, Sweden september 1998
</t>
        </r>
      </text>
    </comment>
    <comment ref="F73"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74" authorId="0">
      <text>
        <r>
          <rPr>
            <sz val="9"/>
            <color indexed="81"/>
            <rFont val="Tahoma"/>
            <family val="2"/>
          </rPr>
          <t xml:space="preserve">Derwent et al. Atmospheric Environment Vol. 32, No. 14/15, pp. 2429Ð2441, 1998
</t>
        </r>
      </text>
    </comment>
    <comment ref="F74"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75" authorId="0">
      <text>
        <r>
          <rPr>
            <sz val="9"/>
            <color indexed="81"/>
            <rFont val="Tahoma"/>
            <family val="2"/>
          </rPr>
          <t xml:space="preserve">Derwent et al. Atmospheric Environment Vol. 32, No. 14/15, pp. 2429Ð2441, 1998
</t>
        </r>
      </text>
    </comment>
    <comment ref="F75"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76" authorId="0">
      <text>
        <r>
          <rPr>
            <sz val="9"/>
            <color indexed="81"/>
            <rFont val="Tahoma"/>
            <family val="2"/>
          </rPr>
          <t xml:space="preserve">Derwent et al. Atmospheric Environment Vol. 32, No. 14/15, pp. 2429Ð2441, 1998
</t>
        </r>
      </text>
    </comment>
    <comment ref="F76"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77" authorId="0">
      <text>
        <r>
          <rPr>
            <sz val="9"/>
            <color indexed="81"/>
            <rFont val="Tahoma"/>
            <family val="2"/>
          </rPr>
          <t xml:space="preserve">Derwent et al. Atmospheric Environment Vol. 32, No. 14/15, pp. 2429Ð2441, 1998
</t>
        </r>
      </text>
    </comment>
    <comment ref="F77"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78" authorId="0">
      <text>
        <r>
          <rPr>
            <sz val="9"/>
            <color indexed="81"/>
            <rFont val="Tahoma"/>
            <family val="2"/>
          </rPr>
          <t xml:space="preserve">Derwent et al. Atmospheric Environment Vol. 32, No. 14/15, pp. 2429Ð2441, 1998
</t>
        </r>
      </text>
    </comment>
    <comment ref="F78"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79" authorId="0">
      <text>
        <r>
          <rPr>
            <sz val="9"/>
            <color indexed="81"/>
            <rFont val="Tahoma"/>
            <family val="2"/>
          </rPr>
          <t xml:space="preserve">Derwent et al. Atmospheric Environment Vol. 32, No. 14/15, pp. 2429Ð2441, 1998
</t>
        </r>
      </text>
    </comment>
    <comment ref="F79"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80" authorId="0">
      <text>
        <r>
          <rPr>
            <sz val="9"/>
            <color indexed="81"/>
            <rFont val="Tahoma"/>
            <family val="2"/>
          </rPr>
          <t xml:space="preserve">Derwent et al. Atmospheric Environment Vol. 32, No. 14/15, pp. 2429Ð2441, 1998
</t>
        </r>
      </text>
    </comment>
    <comment ref="F80"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81" authorId="0">
      <text>
        <r>
          <rPr>
            <sz val="9"/>
            <color indexed="81"/>
            <rFont val="Tahoma"/>
            <family val="2"/>
          </rPr>
          <t xml:space="preserve">Derwent et al. Atmospheric Environment Vol. 32, No. 14/15, pp. 2429Ð2441, 1998
</t>
        </r>
      </text>
    </comment>
    <comment ref="F81"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82" authorId="0">
      <text>
        <r>
          <rPr>
            <sz val="9"/>
            <color indexed="81"/>
            <rFont val="Tahoma"/>
            <family val="2"/>
          </rPr>
          <t xml:space="preserve">Derwent et al. Atmospheric Environment Vol. 32, No. 14/15, pp. 2429Ð2441, 1998
</t>
        </r>
      </text>
    </comment>
    <comment ref="F82"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84" authorId="0">
      <text>
        <r>
          <rPr>
            <sz val="9"/>
            <color indexed="81"/>
            <rFont val="Tahoma"/>
            <family val="2"/>
          </rPr>
          <t xml:space="preserve">Derwent et al. Atmospheric Environment Vol. 32, No. 14/15, pp. 2429Ð2441, 1998
</t>
        </r>
      </text>
    </comment>
    <comment ref="F84"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85" authorId="0">
      <text>
        <r>
          <rPr>
            <sz val="9"/>
            <color indexed="81"/>
            <rFont val="Tahoma"/>
            <family val="2"/>
          </rPr>
          <t xml:space="preserve">Derwent et al. Atmospheric Environment Vol. 32, No. 14/15, pp. 2429Ð2441, 1998
</t>
        </r>
      </text>
    </comment>
    <comment ref="F85"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87" authorId="0">
      <text>
        <r>
          <rPr>
            <sz val="9"/>
            <color indexed="81"/>
            <rFont val="Tahoma"/>
            <family val="2"/>
          </rPr>
          <t xml:space="preserve">0.35 - 0.53 according to Johanna Altenstedt and Karin Pleijel, IVL report B-1305 Göteborg, Sweden september 1998
</t>
        </r>
      </text>
    </comment>
    <comment ref="E87" authorId="0">
      <text>
        <r>
          <rPr>
            <sz val="9"/>
            <color indexed="81"/>
            <rFont val="Tahoma"/>
            <family val="2"/>
          </rPr>
          <t xml:space="preserve">Derwent et.al has a POCP of 0.094, which indicates a large uncertainty on a global level
</t>
        </r>
      </text>
    </comment>
    <comment ref="F87"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88" authorId="0">
      <text>
        <r>
          <rPr>
            <sz val="9"/>
            <color indexed="81"/>
            <rFont val="Tahoma"/>
            <family val="2"/>
          </rPr>
          <t xml:space="preserve">0.57 - 0.61 according to Johanna Altenstedt and Karin Pleijel, IVL report B-1305 Göteborg, Sweden september 1998
</t>
        </r>
      </text>
    </comment>
    <comment ref="F88"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89" authorId="0">
      <text>
        <r>
          <rPr>
            <sz val="9"/>
            <color indexed="81"/>
            <rFont val="Tahoma"/>
            <family val="2"/>
          </rPr>
          <t xml:space="preserve">0.65 - 0.89 according to Johanna Altenstedt and Karin Pleijel, IVL report B-1305 Göteborg, Sweden september 1998
</t>
        </r>
      </text>
    </comment>
    <comment ref="F89"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90" authorId="0">
      <text>
        <r>
          <rPr>
            <sz val="9"/>
            <color indexed="81"/>
            <rFont val="Tahoma"/>
            <family val="2"/>
          </rPr>
          <t xml:space="preserve">Derwent et al. Atmospheric Environment Vol. 32, No. 14/15, pp. 2429Ð2441, 1998
</t>
        </r>
      </text>
    </comment>
    <comment ref="F90"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91" authorId="0">
      <text>
        <r>
          <rPr>
            <sz val="9"/>
            <color indexed="81"/>
            <rFont val="Tahoma"/>
            <family val="2"/>
          </rPr>
          <t xml:space="preserve">Derwent et al. Atmospheric Environment Vol. 32, No. 14/15, pp. 2429Ð2441, 1998
</t>
        </r>
      </text>
    </comment>
    <comment ref="F91"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92" authorId="0">
      <text>
        <r>
          <rPr>
            <sz val="9"/>
            <color indexed="81"/>
            <rFont val="Tahoma"/>
            <family val="2"/>
          </rPr>
          <t xml:space="preserve">Derwent et al. Atmospheric Environment Vol. 32, No. 14/15, pp. 2429Ð2441, 1998
</t>
        </r>
      </text>
    </comment>
    <comment ref="F92"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93" authorId="0">
      <text>
        <r>
          <rPr>
            <sz val="9"/>
            <color indexed="81"/>
            <rFont val="Tahoma"/>
            <family val="2"/>
          </rPr>
          <t xml:space="preserve">Derwent et al. Atmospheric Environment Vol. 32, No. 14/15, pp. 2429Ð2441, 1998
</t>
        </r>
      </text>
    </comment>
    <comment ref="F93"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94" authorId="0">
      <text>
        <r>
          <rPr>
            <sz val="9"/>
            <color indexed="81"/>
            <rFont val="Tahoma"/>
            <family val="2"/>
          </rPr>
          <t xml:space="preserve">Derwent et al. Atmospheric Environment Vol. 32, No. 14/15, pp. 2429Ð2441, 1998
</t>
        </r>
      </text>
    </comment>
    <comment ref="F94"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95" authorId="0">
      <text>
        <r>
          <rPr>
            <sz val="9"/>
            <color indexed="81"/>
            <rFont val="Tahoma"/>
            <family val="2"/>
          </rPr>
          <t xml:space="preserve">Derwent et al. Atmospheric Environment Vol. 32, No. 14/15, pp. 2429Ð2441, 1998
</t>
        </r>
      </text>
    </comment>
    <comment ref="F95"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97" authorId="0">
      <text>
        <r>
          <rPr>
            <sz val="9"/>
            <color indexed="81"/>
            <rFont val="Tahoma"/>
            <family val="2"/>
          </rPr>
          <t xml:space="preserve">0.18 - 0.55  according to Johanna Altenstedt and Karin Pleijel, IVL report B-1305 Göteborg, Sweden september 1998
</t>
        </r>
      </text>
    </comment>
    <comment ref="F97"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98" authorId="0">
      <text>
        <r>
          <rPr>
            <sz val="9"/>
            <color indexed="81"/>
            <rFont val="Tahoma"/>
            <family val="2"/>
          </rPr>
          <t xml:space="preserve">0.68 - 0.80  according to Johanna Altenstedt and Karin Pleijel, IVL report B-1305 Göteborg, Sweden september 1998
</t>
        </r>
      </text>
    </comment>
    <comment ref="F98"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99" authorId="0">
      <text>
        <r>
          <rPr>
            <sz val="9"/>
            <color indexed="81"/>
            <rFont val="Tahoma"/>
            <family val="2"/>
          </rPr>
          <t xml:space="preserve">0.74 - 0.99  according to Johanna Altenstedt and Karin Pleijel, IVL report B-1305 Göteborg, Sweden september 1998
</t>
        </r>
      </text>
    </comment>
    <comment ref="F99"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100" authorId="0">
      <text>
        <r>
          <rPr>
            <sz val="9"/>
            <color indexed="81"/>
            <rFont val="Tahoma"/>
            <family val="2"/>
          </rPr>
          <t xml:space="preserve">0.75 - 1.05  according to Johanna Altenstedt and Karin Pleijel, IVL report B-1305 Göteborg, Sweden september 1998
</t>
        </r>
      </text>
    </comment>
    <comment ref="F100"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101" authorId="0">
      <text>
        <r>
          <rPr>
            <sz val="9"/>
            <color indexed="81"/>
            <rFont val="Tahoma"/>
            <family val="2"/>
          </rPr>
          <t xml:space="preserve">0.53 - 0.65  according to Johanna Altenstedt and Karin Pleijel, IVL report B-1305 Göteborg, Sweden september 1998
</t>
        </r>
      </text>
    </comment>
    <comment ref="F101"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A102" authorId="0">
      <text>
        <r>
          <rPr>
            <sz val="9"/>
            <color indexed="81"/>
            <rFont val="Tahoma"/>
            <family val="2"/>
          </rPr>
          <t xml:space="preserve">= pentanaldehyde
</t>
        </r>
      </text>
    </comment>
    <comment ref="D102" authorId="0">
      <text>
        <r>
          <rPr>
            <sz val="9"/>
            <color indexed="81"/>
            <rFont val="Tahoma"/>
            <family val="2"/>
          </rPr>
          <t xml:space="preserve">0.74 - 1.06  according to Johanna Altenstedt and Karin Pleijel, IVL report B-1305 Göteborg, Sweden september 1998
</t>
        </r>
      </text>
    </comment>
    <comment ref="F102"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103" authorId="0">
      <text>
        <r>
          <rPr>
            <sz val="9"/>
            <color indexed="81"/>
            <rFont val="Tahoma"/>
            <family val="2"/>
          </rPr>
          <t xml:space="preserve">0.17 - 0.22 according to Johanna Altenstedt and Karin Pleijel, IVL report B-1305 Göteborg, Sweden september 1998
</t>
        </r>
      </text>
    </comment>
    <comment ref="F103"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104" authorId="0">
      <text>
        <r>
          <rPr>
            <sz val="9"/>
            <color indexed="81"/>
            <rFont val="Tahoma"/>
            <family val="2"/>
          </rPr>
          <t xml:space="preserve">0.52 - 0.91 according to Johanna Altenstedt and Karin Pleijel, IVL report B-1305 Göteborg, Sweden september 1998
</t>
        </r>
      </text>
    </comment>
    <comment ref="F104"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105" authorId="0">
      <text>
        <r>
          <rPr>
            <sz val="9"/>
            <color indexed="81"/>
            <rFont val="Tahoma"/>
            <family val="2"/>
          </rPr>
          <t xml:space="preserve">0.73 - 1.26 according to Johanna Altenstedt and Karin Pleijel, IVL report B-1305 Göteborg, Sweden september 1998
</t>
        </r>
      </text>
    </comment>
    <comment ref="F105"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106" authorId="0">
      <text>
        <r>
          <rPr>
            <sz val="9"/>
            <color indexed="81"/>
            <rFont val="Tahoma"/>
            <family val="2"/>
          </rPr>
          <t>0.94 - 1.10 according to Johanna Altenstedt and Karin Pleijel, IVL report B-1305 Göteborg, Sweden september 1998</t>
        </r>
      </text>
    </comment>
    <comment ref="F106"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107" authorId="0">
      <text>
        <r>
          <rPr>
            <sz val="9"/>
            <color indexed="81"/>
            <rFont val="Tahoma"/>
            <family val="2"/>
          </rPr>
          <t xml:space="preserve">0 according to Johanna Altenstedt and Karin Pleijel, IVL report B-1305 Göteborg, Sweden september 1998
</t>
        </r>
      </text>
    </comment>
    <comment ref="F107"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109" authorId="0">
      <text>
        <r>
          <rPr>
            <sz val="9"/>
            <color indexed="81"/>
            <rFont val="Tahoma"/>
            <family val="2"/>
          </rPr>
          <t xml:space="preserve">Derwent et al. Atmospheric Environment Vol. 32, No. 14/15, pp. 2429Ð2441, 1998
</t>
        </r>
      </text>
    </comment>
    <comment ref="F109"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110" authorId="0">
      <text>
        <r>
          <rPr>
            <sz val="9"/>
            <color indexed="81"/>
            <rFont val="Tahoma"/>
            <family val="2"/>
          </rPr>
          <t xml:space="preserve">0.041 - 0.096  according to Johanna Altenstedt and Karin Pleijel, IVL report B-1305 Göteborg, Sweden september 1998
</t>
        </r>
      </text>
    </comment>
    <comment ref="F110"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111" authorId="0">
      <text>
        <r>
          <rPr>
            <sz val="9"/>
            <color indexed="81"/>
            <rFont val="Tahoma"/>
            <family val="2"/>
          </rPr>
          <t xml:space="preserve">0.074 - 0.40  according to Johanna Altenstedt and Karin Pleijel, IVL report B-1305 Göteborg, Sweden september 1998. 0.21 according to Derwent et al.
</t>
        </r>
      </text>
    </comment>
    <comment ref="F111"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112" authorId="0">
      <text>
        <r>
          <rPr>
            <sz val="9"/>
            <color indexed="81"/>
            <rFont val="Tahoma"/>
            <family val="2"/>
          </rPr>
          <t xml:space="preserve">Derwent et al. Atmospheric Environment Vol. 32, No. 14/15, pp. 2429Ð2441, 1998
</t>
        </r>
      </text>
    </comment>
    <comment ref="F112"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113" authorId="0">
      <text>
        <r>
          <rPr>
            <sz val="9"/>
            <color indexed="81"/>
            <rFont val="Tahoma"/>
            <family val="2"/>
          </rPr>
          <t xml:space="preserve">Derwent et al. Atmospheric Environment Vol. 32, No. 14/15, pp. 2429Ð2441, 1998
</t>
        </r>
      </text>
    </comment>
    <comment ref="F113"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114" authorId="0">
      <text>
        <r>
          <rPr>
            <sz val="9"/>
            <color indexed="81"/>
            <rFont val="Tahoma"/>
            <family val="2"/>
          </rPr>
          <t xml:space="preserve">0.22 - 0.66 according to Johanna Altenstedt and Karin Pleijel, IVL report B-1305 Göteborg, Sweden september 1998
</t>
        </r>
      </text>
    </comment>
    <comment ref="F114"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115" authorId="0">
      <text>
        <r>
          <rPr>
            <sz val="9"/>
            <color indexed="81"/>
            <rFont val="Tahoma"/>
            <family val="2"/>
          </rPr>
          <t xml:space="preserve">0.12 - 0.49 according to Johanna Altenstedt and Karin Pleijel, IVL report B-1305 Göteborg, Sweden september 1998
</t>
        </r>
      </text>
    </comment>
    <comment ref="F115"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117" authorId="0">
      <text>
        <r>
          <rPr>
            <sz val="9"/>
            <color indexed="81"/>
            <rFont val="Tahoma"/>
            <family val="2"/>
          </rPr>
          <t xml:space="preserve">0.18 - 0.48  according to Johanna Altenstedt and Karin Pleijel, IVL report B-1305 Göteborg, Sweden september 1998
</t>
        </r>
      </text>
    </comment>
    <comment ref="F117"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118" authorId="0">
      <text>
        <r>
          <rPr>
            <sz val="9"/>
            <color indexed="81"/>
            <rFont val="Tahoma"/>
            <family val="2"/>
          </rPr>
          <t xml:space="preserve">0.25 - 0.80 according to Johanna Altenstedt and Karin Pleijel, IVL report B-1305 Göteborg, Sweden september 1998
</t>
        </r>
      </text>
    </comment>
    <comment ref="F118"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119" authorId="0">
      <text>
        <r>
          <rPr>
            <sz val="9"/>
            <color indexed="81"/>
            <rFont val="Tahoma"/>
            <family val="2"/>
          </rPr>
          <t xml:space="preserve">0.42 - 0.56 according to Johanna Altenstedt and Karin Pleijel, IVL report B-1305 Göteborg, Sweden september 1998
</t>
        </r>
      </text>
    </comment>
    <comment ref="F119"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120" authorId="0">
      <text>
        <r>
          <rPr>
            <sz val="9"/>
            <color indexed="81"/>
            <rFont val="Tahoma"/>
            <family val="2"/>
          </rPr>
          <t xml:space="preserve">Derwent et al. Atmospheric Environment Vol. 32, No. 14/15, pp. 2429Ð2441, 1998
</t>
        </r>
      </text>
    </comment>
    <comment ref="F120"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121" authorId="0">
      <text>
        <r>
          <rPr>
            <sz val="9"/>
            <color indexed="81"/>
            <rFont val="Tahoma"/>
            <family val="2"/>
          </rPr>
          <t xml:space="preserve">Derwent et al. Atmospheric Environment Vol. 32, No. 14/15, pp. 2429Ð2441, 1998
</t>
        </r>
      </text>
    </comment>
    <comment ref="F121"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123" authorId="0">
      <text>
        <r>
          <rPr>
            <sz val="9"/>
            <color indexed="81"/>
            <rFont val="Tahoma"/>
            <family val="2"/>
          </rPr>
          <t xml:space="preserve">Derwent et al. Atmospheric Environment Vol. 32, No. 14/15, pp. 2429Ð2441, 1998
</t>
        </r>
      </text>
    </comment>
    <comment ref="F123"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124" authorId="0">
      <text>
        <r>
          <rPr>
            <sz val="9"/>
            <color indexed="81"/>
            <rFont val="Tahoma"/>
            <family val="2"/>
          </rPr>
          <t xml:space="preserve">Derwent et al. Atmospheric Environment Vol. 32, No. 14/15, pp. 2429Ð2441, 1998
</t>
        </r>
      </text>
    </comment>
    <comment ref="F124"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125" authorId="0">
      <text>
        <r>
          <rPr>
            <sz val="9"/>
            <color indexed="81"/>
            <rFont val="Tahoma"/>
            <family val="2"/>
          </rPr>
          <t xml:space="preserve">Derwent et al. Atmospheric Environment Vol. 32, No. 14/15, pp. 2429Ð2441, 1998
</t>
        </r>
      </text>
    </comment>
    <comment ref="F125"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126" authorId="0">
      <text>
        <r>
          <rPr>
            <sz val="9"/>
            <color indexed="81"/>
            <rFont val="Tahoma"/>
            <family val="2"/>
          </rPr>
          <t xml:space="preserve">Derwent et al. Atmospheric Environment Vol. 32, No. 14/15, pp. 2429Ð2441, 1998
</t>
        </r>
      </text>
    </comment>
    <comment ref="F126"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127" authorId="0">
      <text>
        <r>
          <rPr>
            <sz val="9"/>
            <color indexed="81"/>
            <rFont val="Tahoma"/>
            <family val="2"/>
          </rPr>
          <t xml:space="preserve">Derwent et al. Atmospheric Environment Vol. 32, No. 14/15, pp. 2429Ð2441, 1998
</t>
        </r>
      </text>
    </comment>
    <comment ref="F127"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129" authorId="0">
      <text>
        <r>
          <rPr>
            <sz val="9"/>
            <color indexed="81"/>
            <rFont val="Tahoma"/>
            <family val="2"/>
          </rPr>
          <t xml:space="preserve">Derwent et al. Atmospheric Environment Vol. 32, No. 14/15, pp. 2429Ð2441, 1998
</t>
        </r>
      </text>
    </comment>
    <comment ref="F129"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130" authorId="0">
      <text>
        <r>
          <rPr>
            <sz val="9"/>
            <color indexed="81"/>
            <rFont val="Tahoma"/>
            <family val="2"/>
          </rPr>
          <t xml:space="preserve">0.11 - 0.20 according to Johanna Altenstedt and Karin Pleijel, IVL report B-1305 Göteborg, Sweden september 1998
</t>
        </r>
      </text>
    </comment>
    <comment ref="F130"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131" authorId="0">
      <text>
        <r>
          <rPr>
            <sz val="9"/>
            <color indexed="81"/>
            <rFont val="Tahoma"/>
            <family val="2"/>
          </rPr>
          <t xml:space="preserve">Derwent et al. Atmospheric Environment Vol. 32, No. 14/15, pp. 2429Ð2441, 1998
</t>
        </r>
      </text>
    </comment>
    <comment ref="F131"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B133" authorId="0">
      <text>
        <r>
          <rPr>
            <sz val="9"/>
            <color indexed="81"/>
            <rFont val="Tahoma"/>
            <family val="2"/>
          </rPr>
          <t xml:space="preserve">AR5 WGI, Ch 8, Table 8A.1
</t>
        </r>
      </text>
    </comment>
    <comment ref="D133" authorId="0">
      <text>
        <r>
          <rPr>
            <sz val="9"/>
            <color indexed="81"/>
            <rFont val="Tahoma"/>
            <family val="2"/>
          </rPr>
          <t xml:space="preserve">Derwent et al. Atmospheric Environment Vol. 32, No. 14/15, pp. 2429Ð2441, 1998
</t>
        </r>
      </text>
    </comment>
    <comment ref="F133"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A134" authorId="0">
      <text>
        <r>
          <rPr>
            <sz val="9"/>
            <color indexed="81"/>
            <rFont val="Tahoma"/>
            <family val="2"/>
          </rPr>
          <t xml:space="preserve">= dichloromethane
</t>
        </r>
      </text>
    </comment>
    <comment ref="B134" authorId="0">
      <text>
        <r>
          <rPr>
            <sz val="9"/>
            <color indexed="81"/>
            <rFont val="Tahoma"/>
            <family val="2"/>
          </rPr>
          <t xml:space="preserve">AR5 WGI, Ch 8, Table 8A.1
</t>
        </r>
      </text>
    </comment>
    <comment ref="D134" authorId="0">
      <text>
        <r>
          <rPr>
            <sz val="9"/>
            <color indexed="81"/>
            <rFont val="Tahoma"/>
            <family val="2"/>
          </rPr>
          <t xml:space="preserve">Derwent et al. Atmospheric Environment Vol. 32, No. 14/15, pp. 2429Ð2441, 1998
</t>
        </r>
      </text>
    </comment>
    <comment ref="F134"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A135" authorId="0">
      <text>
        <r>
          <rPr>
            <sz val="9"/>
            <color indexed="81"/>
            <rFont val="Tahoma"/>
            <family val="2"/>
          </rPr>
          <t xml:space="preserve">tri-chloromethane
</t>
        </r>
      </text>
    </comment>
    <comment ref="B135" authorId="0">
      <text>
        <r>
          <rPr>
            <sz val="9"/>
            <color indexed="81"/>
            <rFont val="Tahoma"/>
            <family val="2"/>
          </rPr>
          <t xml:space="preserve">AR5 WGI, Ch 8, Table 8A.1
</t>
        </r>
      </text>
    </comment>
    <comment ref="F135"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B136" authorId="0">
      <text>
        <r>
          <rPr>
            <sz val="9"/>
            <color indexed="81"/>
            <rFont val="Tahoma"/>
            <family val="2"/>
          </rPr>
          <t xml:space="preserve">Assumed to be similar to 1,2 dichloroethylene
</t>
        </r>
      </text>
    </comment>
    <comment ref="D136" authorId="0">
      <text>
        <r>
          <rPr>
            <sz val="9"/>
            <color indexed="81"/>
            <rFont val="Tahoma"/>
            <family val="2"/>
          </rPr>
          <t xml:space="preserve">0.038 - 0.12 according to Johanna Altenstedt and Karin Pleijel, IVL report B-1305 Göteborg, Sweden september 1998
</t>
        </r>
      </text>
    </comment>
    <comment ref="F136"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B137" authorId="0">
      <text>
        <r>
          <rPr>
            <sz val="9"/>
            <color indexed="81"/>
            <rFont val="Tahoma"/>
            <family val="2"/>
          </rPr>
          <t xml:space="preserve">Assumed to be similar to 1,2 dichloroethylene
</t>
        </r>
      </text>
    </comment>
    <comment ref="D137" authorId="0">
      <text>
        <r>
          <rPr>
            <sz val="9"/>
            <color indexed="81"/>
            <rFont val="Tahoma"/>
            <family val="2"/>
          </rPr>
          <t xml:space="preserve">0.015 - 0.035 according to Johanna Altenstedt and Karin Pleijel, IVL report B-1305 Göteborg, Sweden september 1998
</t>
        </r>
      </text>
    </comment>
    <comment ref="F137"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A138" authorId="0">
      <text>
        <r>
          <rPr>
            <sz val="9"/>
            <color indexed="81"/>
            <rFont val="Tahoma"/>
            <family val="2"/>
          </rPr>
          <t>cis and trans</t>
        </r>
      </text>
    </comment>
    <comment ref="B138" authorId="0">
      <text>
        <r>
          <rPr>
            <sz val="9"/>
            <color indexed="81"/>
            <rFont val="Tahoma"/>
            <family val="2"/>
          </rPr>
          <t xml:space="preserve">AR5 WGI, Ch 8, Table 8A.1
</t>
        </r>
      </text>
    </comment>
    <comment ref="D138" authorId="0">
      <text>
        <r>
          <rPr>
            <sz val="9"/>
            <color indexed="81"/>
            <rFont val="Tahoma"/>
            <family val="2"/>
          </rPr>
          <t xml:space="preserve">Derwent et al. Atmospheric Environment Vol. 32, No. 14/15, pp. 2429Ð2441, 1998
</t>
        </r>
      </text>
    </comment>
    <comment ref="F138"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139" authorId="0">
      <text>
        <r>
          <rPr>
            <sz val="9"/>
            <color indexed="81"/>
            <rFont val="Tahoma"/>
            <family val="2"/>
          </rPr>
          <t xml:space="preserve">0.007 - 0.02 according to Johanna Altenstedt and Karin Pleijel, IVL report B-1305 Göteborg, Sweden september 1998. 0.03 according to Derwent et al.
</t>
        </r>
      </text>
    </comment>
    <comment ref="F139"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140" authorId="0">
      <text>
        <r>
          <rPr>
            <sz val="9"/>
            <color indexed="81"/>
            <rFont val="Tahoma"/>
            <family val="2"/>
          </rPr>
          <t xml:space="preserve">0.056 - 0.15 according to Johanna Altenstedt and Karin Pleijel, IVL report B-1305 Göteborg, Sweden september 1998. 0.029 according to Derwent et al.
</t>
        </r>
      </text>
    </comment>
    <comment ref="F140"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A141" authorId="0">
      <text>
        <r>
          <rPr>
            <sz val="9"/>
            <color indexed="81"/>
            <rFont val="Tahoma"/>
            <family val="2"/>
          </rPr>
          <t xml:space="preserve">1,1,1, trichlorethane
</t>
        </r>
      </text>
    </comment>
    <comment ref="B141" authorId="0">
      <text>
        <r>
          <rPr>
            <sz val="9"/>
            <color indexed="81"/>
            <rFont val="Tahoma"/>
            <family val="2"/>
          </rPr>
          <t xml:space="preserve">AR5 WGI, Ch 8, Table 8A.1
</t>
        </r>
      </text>
    </comment>
    <comment ref="D141" authorId="0">
      <text>
        <r>
          <rPr>
            <sz val="9"/>
            <color indexed="81"/>
            <rFont val="Tahoma"/>
            <family val="2"/>
          </rPr>
          <t xml:space="preserve">0.001 - 0.003 according to Johanna Altenstedt and Karin Pleijel, IVL report B-1305 Göteborg, Sweden september 1998. 0.009 according to Derwent et al.
</t>
        </r>
      </text>
    </comment>
    <comment ref="F141"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143" authorId="0">
      <text>
        <r>
          <rPr>
            <sz val="9"/>
            <color indexed="81"/>
            <rFont val="Tahoma"/>
            <family val="2"/>
          </rPr>
          <t xml:space="preserve">0.60 - 0.64 according to Johanna Altenstedt and Karin Pleijel, IVL report B-1305 Göteborg, Sweden september 1998
</t>
        </r>
      </text>
    </comment>
    <comment ref="F143"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144" authorId="0">
      <text>
        <r>
          <rPr>
            <sz val="9"/>
            <color indexed="81"/>
            <rFont val="Tahoma"/>
            <family val="2"/>
          </rPr>
          <t xml:space="preserve">0.50 - 0.74 according to Johanna Altenstedt and Karin Pleijel, IVL report B-1305 Göteborg, Sweden september 1998
</t>
        </r>
      </text>
    </comment>
    <comment ref="F144"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145" authorId="0">
      <text>
        <r>
          <rPr>
            <sz val="9"/>
            <color indexed="81"/>
            <rFont val="Tahoma"/>
            <family val="2"/>
          </rPr>
          <t xml:space="preserve">0.34 - 0.38 according to Johanna Altenstedt and Karin Pleijel, IVL report B-1305 Göteborg, Sweden september 1998
</t>
        </r>
      </text>
    </comment>
    <comment ref="F145"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List>
</comments>
</file>

<file path=xl/comments11.xml><?xml version="1.0" encoding="utf-8"?>
<comments xmlns="http://schemas.openxmlformats.org/spreadsheetml/2006/main">
  <authors>
    <author>Bengt Steen</author>
  </authors>
  <commentList>
    <comment ref="F2" authorId="0">
      <text>
        <r>
          <rPr>
            <sz val="9"/>
            <color indexed="81"/>
            <rFont val="Tahoma"/>
            <family val="2"/>
          </rPr>
          <t>There are 18000 deaths per year, (Miller GT (2004), Sustaining the Earth, 6th edition. Thompson Learning, Inc. Pacific Grove, California. Chapter 9, Pages 211-216), and a total use of 2360000000 kg of pesticides per year (USEPA http://www.epa.gov/opp00001/pestsales/07pestsales/usage2007.htm). An average shortening of life expectancy of 35 years is assumed and the potency factor of the substance  is used to allocate part of the total effect to the particular substance.</t>
        </r>
      </text>
    </comment>
    <comment ref="G2" authorId="0">
      <text>
        <r>
          <rPr>
            <sz val="9"/>
            <color indexed="81"/>
            <rFont val="Tahoma"/>
            <family val="2"/>
          </rPr>
          <t>There are 3 million cases of severe poisoning per year in developing countries (WHO, UNEP). A duration of the effects of 0,02 years (a week) is assumed. The total use of pesticides are 2300000000 kg/year.  (USEPA http://www.epa.gov/opp00001/pestsales/07pestsales/usage2007.htm).
The potency factor of the substance  is used to allocate part of the total effect to the particular substance.</t>
        </r>
      </text>
    </comment>
    <comment ref="M2" authorId="0">
      <text>
        <r>
          <rPr>
            <sz val="9"/>
            <color indexed="81"/>
            <rFont val="Tahoma"/>
            <family val="2"/>
          </rPr>
          <t xml:space="preserve">Pesticides are responsible for 0.8382 % of the threat causes for redlisted species (IUCN 2014). The global use (=emission) of pesticides is 2360000000 kg/year.  The potency factor of the substance  is used to allocate part of the total effect to the particular substance.
</t>
        </r>
      </text>
    </comment>
    <comment ref="C14" authorId="0">
      <text>
        <r>
          <rPr>
            <sz val="9"/>
            <color indexed="81"/>
            <rFont val="Tahoma"/>
            <family val="2"/>
          </rPr>
          <t>c685</t>
        </r>
      </text>
    </comment>
    <comment ref="C16" authorId="0">
      <text>
        <r>
          <rPr>
            <sz val="9"/>
            <color indexed="81"/>
            <rFont val="Tahoma"/>
            <family val="2"/>
          </rPr>
          <t xml:space="preserve">c79, representing a range
</t>
        </r>
      </text>
    </comment>
    <comment ref="C31" authorId="0">
      <text>
        <r>
          <rPr>
            <sz val="9"/>
            <color indexed="81"/>
            <rFont val="Tahoma"/>
            <family val="2"/>
          </rPr>
          <t xml:space="preserve">c55
</t>
        </r>
      </text>
    </comment>
    <comment ref="C33" authorId="0">
      <text>
        <r>
          <rPr>
            <sz val="9"/>
            <color indexed="81"/>
            <rFont val="Tahoma"/>
            <family val="2"/>
          </rPr>
          <t xml:space="preserve">c700
</t>
        </r>
      </text>
    </comment>
    <comment ref="C43" authorId="0">
      <text>
        <r>
          <rPr>
            <sz val="9"/>
            <color indexed="81"/>
            <rFont val="Tahoma"/>
            <family val="2"/>
          </rPr>
          <t xml:space="preserve">D288, Dermal LD50 values
</t>
        </r>
      </text>
    </comment>
    <comment ref="C51" authorId="0">
      <text>
        <r>
          <rPr>
            <sz val="9"/>
            <color indexed="81"/>
            <rFont val="Tahoma"/>
            <family val="2"/>
          </rPr>
          <t xml:space="preserve">c300
</t>
        </r>
      </text>
    </comment>
    <comment ref="A68" authorId="0">
      <text>
        <r>
          <rPr>
            <sz val="9"/>
            <color indexed="81"/>
            <rFont val="Tahoma"/>
            <family val="2"/>
          </rPr>
          <t xml:space="preserve">3Cu(OH)2.CuCl2
</t>
        </r>
      </text>
    </comment>
    <comment ref="C76" authorId="0">
      <text>
        <r>
          <rPr>
            <sz val="9"/>
            <color indexed="81"/>
            <rFont val="Tahoma"/>
            <family val="2"/>
          </rPr>
          <t xml:space="preserve">c144,representing a  range </t>
        </r>
      </text>
    </comment>
    <comment ref="C79" authorId="0">
      <text>
        <r>
          <rPr>
            <sz val="9"/>
            <color indexed="81"/>
            <rFont val="Tahoma"/>
            <family val="2"/>
          </rPr>
          <t xml:space="preserve">c250, representing a range
</t>
        </r>
      </text>
    </comment>
    <comment ref="C84" authorId="0">
      <text>
        <r>
          <rPr>
            <sz val="9"/>
            <color indexed="81"/>
            <rFont val="Tahoma"/>
            <family val="2"/>
          </rPr>
          <t xml:space="preserve">representing a range
</t>
        </r>
      </text>
    </comment>
    <comment ref="C88" authorId="0">
      <text>
        <r>
          <rPr>
            <sz val="9"/>
            <color indexed="81"/>
            <rFont val="Tahoma"/>
            <family val="2"/>
          </rPr>
          <t xml:space="preserve">500-5000, a mixture of orto, meta amd para -isomeres
</t>
        </r>
      </text>
    </comment>
    <comment ref="C93" authorId="0">
      <text>
        <r>
          <rPr>
            <sz val="9"/>
            <color indexed="81"/>
            <rFont val="Tahoma"/>
            <family val="2"/>
          </rPr>
          <t xml:space="preserve">representing a range
</t>
        </r>
      </text>
    </comment>
    <comment ref="C103" authorId="0">
      <text>
        <r>
          <rPr>
            <sz val="9"/>
            <color indexed="81"/>
            <rFont val="Tahoma"/>
            <family val="2"/>
          </rPr>
          <t xml:space="preserve">Representiing a range
</t>
        </r>
      </text>
    </comment>
    <comment ref="C131" authorId="0">
      <text>
        <r>
          <rPr>
            <sz val="9"/>
            <color indexed="81"/>
            <rFont val="Tahoma"/>
            <family val="2"/>
          </rPr>
          <t xml:space="preserve">Representing a range
</t>
        </r>
      </text>
    </comment>
    <comment ref="C134" authorId="0">
      <text>
        <r>
          <rPr>
            <sz val="9"/>
            <color indexed="81"/>
            <rFont val="Tahoma"/>
            <family val="2"/>
          </rPr>
          <t>Dermal LD50 value</t>
        </r>
      </text>
    </comment>
    <comment ref="C137" authorId="0">
      <text>
        <r>
          <rPr>
            <sz val="9"/>
            <color indexed="81"/>
            <rFont val="Tahoma"/>
            <family val="2"/>
          </rPr>
          <t xml:space="preserve">Representing a range
</t>
        </r>
      </text>
    </comment>
    <comment ref="C176" authorId="0">
      <text>
        <r>
          <rPr>
            <sz val="9"/>
            <color indexed="81"/>
            <rFont val="Tahoma"/>
            <family val="2"/>
          </rPr>
          <t xml:space="preserve">Representing a range
</t>
        </r>
      </text>
    </comment>
    <comment ref="A177" authorId="0">
      <text>
        <r>
          <rPr>
            <sz val="9"/>
            <color indexed="81"/>
            <rFont val="Tahoma"/>
            <family val="2"/>
          </rPr>
          <t xml:space="preserve">PbHAsO4
</t>
        </r>
      </text>
    </comment>
    <comment ref="C210" authorId="0">
      <text>
        <r>
          <rPr>
            <sz val="9"/>
            <color indexed="81"/>
            <rFont val="Tahoma"/>
            <family val="2"/>
          </rPr>
          <t>D50
Dermal LD50 values</t>
        </r>
      </text>
    </comment>
    <comment ref="C225" authorId="0">
      <text>
        <r>
          <rPr>
            <sz val="9"/>
            <color indexed="81"/>
            <rFont val="Tahoma"/>
            <family val="2"/>
          </rPr>
          <t>D80
Dermal LD50 values</t>
        </r>
      </text>
    </comment>
    <comment ref="C226" authorId="0">
      <text>
        <r>
          <rPr>
            <sz val="9"/>
            <color indexed="81"/>
            <rFont val="Tahoma"/>
            <family val="2"/>
          </rPr>
          <t xml:space="preserve">Representing a range
</t>
        </r>
      </text>
    </comment>
    <comment ref="C227" authorId="0">
      <text>
        <r>
          <rPr>
            <sz val="9"/>
            <color indexed="81"/>
            <rFont val="Tahoma"/>
            <family val="2"/>
          </rPr>
          <t xml:space="preserve">Representing a range
</t>
        </r>
      </text>
    </comment>
    <comment ref="C233" authorId="0">
      <text>
        <r>
          <rPr>
            <sz val="9"/>
            <color indexed="81"/>
            <rFont val="Tahoma"/>
            <family val="2"/>
          </rPr>
          <t xml:space="preserve">Dermal LD50 values 
</t>
        </r>
      </text>
    </comment>
    <comment ref="C241" authorId="0">
      <text>
        <r>
          <rPr>
            <sz val="9"/>
            <color indexed="81"/>
            <rFont val="Tahoma"/>
            <family val="2"/>
          </rPr>
          <t xml:space="preserve">Representing a range
</t>
        </r>
      </text>
    </comment>
    <comment ref="C250" authorId="0">
      <text>
        <r>
          <rPr>
            <sz val="9"/>
            <color indexed="81"/>
            <rFont val="Tahoma"/>
            <family val="2"/>
          </rPr>
          <t xml:space="preserve">500 - 1000
</t>
        </r>
      </text>
    </comment>
    <comment ref="C258" authorId="0">
      <text>
        <r>
          <rPr>
            <sz val="9"/>
            <color indexed="81"/>
            <rFont val="Tahoma"/>
            <family val="2"/>
          </rPr>
          <t xml:space="preserve">132-1500
</t>
        </r>
      </text>
    </comment>
    <comment ref="C273" authorId="0">
      <text>
        <r>
          <rPr>
            <sz val="9"/>
            <color indexed="81"/>
            <rFont val="Tahoma"/>
            <family val="2"/>
          </rPr>
          <t xml:space="preserve">c22
</t>
        </r>
      </text>
    </comment>
    <comment ref="C286" authorId="0">
      <text>
        <r>
          <rPr>
            <sz val="9"/>
            <color indexed="81"/>
            <rFont val="Tahoma"/>
            <family val="2"/>
          </rPr>
          <t xml:space="preserve">representing a range
</t>
        </r>
      </text>
    </comment>
    <comment ref="C289" authorId="0">
      <text>
        <r>
          <rPr>
            <sz val="9"/>
            <color indexed="81"/>
            <rFont val="Tahoma"/>
            <family val="2"/>
          </rPr>
          <t xml:space="preserve">50-100
</t>
        </r>
      </text>
    </comment>
  </commentList>
</comments>
</file>

<file path=xl/comments12.xml><?xml version="1.0" encoding="utf-8"?>
<comments xmlns="http://schemas.openxmlformats.org/spreadsheetml/2006/main">
  <authors>
    <author>Bengt Steen</author>
  </authors>
  <commentList>
    <comment ref="E1" authorId="0">
      <text>
        <r>
          <rPr>
            <sz val="9"/>
            <color indexed="81"/>
            <rFont val="Tahoma"/>
            <family val="2"/>
          </rPr>
          <t xml:space="preserve">Either the total decrease (+) or decrease (-) of indicator units due to the emission (=substance flow group)
or
decrease or increase of indicator units from 1 kg of a reference substance. The latter is used to model the characterisation factors, when  equivalency factors are available. </t>
        </r>
      </text>
    </comment>
    <comment ref="F1" authorId="0">
      <text>
        <r>
          <rPr>
            <sz val="9"/>
            <color indexed="81"/>
            <rFont val="Tahoma"/>
            <family val="2"/>
          </rPr>
          <t>If not specifically noted, the uncertaitny is expressed as a factor equal ti one standard deviation in a log normal distribution</t>
        </r>
      </text>
    </comment>
    <comment ref="H1" authorId="0">
      <text>
        <r>
          <rPr>
            <sz val="9"/>
            <color indexed="81"/>
            <rFont val="Tahoma"/>
            <family val="2"/>
          </rPr>
          <t>If not specifically noted, the uncertaitny is expressed as a factor equal ti one standard deviation in a log normal distribution</t>
        </r>
      </text>
    </comment>
    <comment ref="A4" authorId="0">
      <text>
        <r>
          <rPr>
            <sz val="9"/>
            <color indexed="81"/>
            <rFont val="Tahoma"/>
            <family val="2"/>
          </rPr>
          <t>A linear model of contributions from noise emissions to exposure levels is problematic as the dB measure is a logarithmic one. 
The number of decibels is ten times the logarithm to base 10 of the ratio of two power quantities, i.e. 10*log(W1/W2)
A change in power by a factor of 10 corresponds to a 10 dB change in level.
Threfore the noise emissions need to be expressed in power measures, i.e. 10^(dBA/10) in order to be added in a linear model.</t>
        </r>
      </text>
    </comment>
    <comment ref="E4" authorId="0">
      <text>
        <r>
          <rPr>
            <sz val="9"/>
            <color indexed="81"/>
            <rFont val="Tahoma"/>
            <family val="2"/>
          </rPr>
          <t>Annually 5.5 million persons worldwide die from infarcts. The average YOLL (inkluding mortality) due to stroke is 6 years per 1000 inhabitants worldwide  (Thomas Truelsen, Stephen Begg, Colin Mathers, The global burden of cerebrovascular disease, Cerebrovascular disease 21-06-06 Global Burden of Disease 2000, WHO) More than 30% in EU is exposed to levels exceeding 55 dB(A) at night (http://www.euro.who.int/en/health-topics/environment-and-health/noise/data-and-statistics). A 10% increase of infarcts due to high noise levels is estimated from the dose response curves given in EUs "COMMISSION STAFF WORKING PAPER IMPACT ASSESSMENT
Accompanying the document Proposal for a Regulation of the European Parliament and of the Council on the sound level of motor vehicles. Brussels, 9.12.2011 SEC(2011) 1505 final".</t>
        </r>
      </text>
    </comment>
    <comment ref="G4" authorId="0">
      <text>
        <r>
          <rPr>
            <sz val="9"/>
            <color indexed="81"/>
            <rFont val="Tahoma"/>
            <family val="2"/>
          </rPr>
          <t>The global road vehicle fleet consists of 700 million cars, 7 million Light Duty Vehicles and 300 milion Heavy Duty Vehicles. Among the cars 50 % is diesel powered (EU27), among LDVs  97 % and among HDVs 100%.</t>
        </r>
      </text>
    </comment>
  </commentList>
</comments>
</file>

<file path=xl/comments13.xml><?xml version="1.0" encoding="utf-8"?>
<comments xmlns="http://schemas.openxmlformats.org/spreadsheetml/2006/main">
  <authors>
    <author>Bengt Steen</author>
  </authors>
  <commentList>
    <comment ref="A1" authorId="0">
      <text>
        <r>
          <rPr>
            <sz val="9"/>
            <color indexed="81"/>
            <rFont val="Tahoma"/>
            <family val="2"/>
          </rPr>
          <t xml:space="preserve">The list of radionuclids are limited to those considered to have a significan impact.
</t>
        </r>
      </text>
    </comment>
    <comment ref="E4" authorId="0">
      <text>
        <r>
          <rPr>
            <sz val="9"/>
            <color indexed="81"/>
            <rFont val="Tahoma"/>
            <family val="2"/>
          </rPr>
          <t xml:space="preserve">Incidence of fatal cancer is 0,05/TBq (Edlund 2001). The average loss of lifew expectancy is 24 years. (Steen 1999)
</t>
        </r>
      </text>
    </comment>
    <comment ref="F4" authorId="0">
      <text>
        <r>
          <rPr>
            <sz val="9"/>
            <color indexed="81"/>
            <rFont val="Tahoma"/>
            <family val="2"/>
          </rPr>
          <t xml:space="preserve">The cancer incidence is 0.12/TBq (Edlund 2001). The average length of  cancer disablility is assumed to be 5 years.
</t>
        </r>
      </text>
    </comment>
    <comment ref="C5" authorId="0">
      <text>
        <r>
          <rPr>
            <sz val="9"/>
            <color indexed="81"/>
            <rFont val="Tahoma"/>
            <family val="2"/>
          </rPr>
          <t xml:space="preserve">For release to air or fresh water. (Edlund, O. Estimation of Years of Lost Life (YOLL) as a consequence of the nuclear fuel cycle. Chalmers University of Technology, CPM report 2001:3. Available at lifecyclecenter.se)
</t>
        </r>
      </text>
    </comment>
  </commentList>
</comments>
</file>

<file path=xl/comments14.xml><?xml version="1.0" encoding="utf-8"?>
<comments xmlns="http://schemas.openxmlformats.org/spreadsheetml/2006/main">
  <authors>
    <author>Bengt Steen</author>
  </authors>
  <commentList>
    <comment ref="C6" authorId="0">
      <text>
        <r>
          <rPr>
            <sz val="9"/>
            <color indexed="81"/>
            <rFont val="Tahoma"/>
            <family val="2"/>
          </rPr>
          <t>In urban areas population density varies beween 1800 and 44000/km2 (New geography February 4, 2015). The average population density is 4400/km2 (Demographia World Urban Areas: 11th Annual Edition: 2015.01 Built-Up Urban Areas or World Agglomerations) resulting in an extra 1.5 degrees on top of RCP6, for urban heat islands (Shushi Peng et al, Surface heat islands across 419 global big cities, Environmental science and technology, 2012, 46,696-703), resulting in an RCP8.5 scenario, which will decrease working capacity with an extra 5% (estimated from Dunnes et al. Nature Climate Change 3, 563–566 (2013)). As about 25% of the global population live in cities with more than 500000 inhabitants, the global average will be 1.25% decrease. The impact per m2 is assumed to be the same as the contribution per m2, i.e. the damage caused is the same as the damage experienced per m2.</t>
        </r>
      </text>
    </comment>
    <comment ref="D6" authorId="0">
      <text>
        <r>
          <rPr>
            <sz val="9"/>
            <color indexed="81"/>
            <rFont val="Tahoma"/>
            <family val="2"/>
          </rPr>
          <t xml:space="preserve">There is a large variation in climate sensitivity depending on latitude.
</t>
        </r>
      </text>
    </comment>
    <comment ref="E6" authorId="0">
      <text>
        <r>
          <rPr>
            <sz val="9"/>
            <color indexed="81"/>
            <rFont val="Tahoma"/>
            <family val="2"/>
          </rPr>
          <t xml:space="preserve">An average production capacity of 6 tons/hectare and year is assumed
</t>
        </r>
      </text>
    </comment>
    <comment ref="I6" authorId="0">
      <text>
        <r>
          <rPr>
            <sz val="9"/>
            <color indexed="81"/>
            <rFont val="Tahoma"/>
            <family val="2"/>
          </rPr>
          <t>Assumed average precipitation minus evaporation
Total global runoff (excl. Antarctica) is about 40000 km3/year (ELIN WIDÉN-NILSSON ACTA UNIVERSITATIS UPSALIENSIS UPPSALA 2007) and total land area (ex. Antarctica) is 130 million km2</t>
        </r>
      </text>
    </comment>
    <comment ref="K6" authorId="0">
      <text>
        <r>
          <rPr>
            <sz val="9"/>
            <color indexed="81"/>
            <rFont val="Tahoma"/>
            <family val="2"/>
          </rPr>
          <t>Total urban area globally is 400000 km2  http://www.fao.org/docrep/010/ag049e/AG049E03.htm
The share of redlisted species threatened by residential and commercial developments is 0.104 (IUCN, extracted from http://www.iucnredlist.org/search)</t>
        </r>
      </text>
    </comment>
    <comment ref="C7" authorId="0">
      <text>
        <r>
          <rPr>
            <sz val="9"/>
            <color indexed="81"/>
            <rFont val="Tahoma"/>
            <family val="2"/>
          </rPr>
          <t>In urban areas population density varies beween 1800 and 44000/km2 (New geography February 4, 2015). The average population density is 4400/km2 (Demographia World Urban Areas: 11th Annual Edition: 2015.01 Built-Up Urban Areas or World Agglomerations) resulting in an extra 1.5 degrees on top of RCP6, for urban heat islands (Shushi Peng et al, Surface heat islands across 419 global big cities, Environmental science and technology, 2012, 46,696-703), resulting in an RCP8.5 scenario, which will decrease working capacity with an extra 5% (estimated from Dunnes et al. Nature Climate Change 3, 563–566 (2013)). As about 25% of the global population live in cities with more than 500000 inhabitants, the global average will be 1.25% decrease. The impact per m2 is assumed to be the same as the contribution per m2, i.e. the damage caused is the same as the damage experienced per m2.</t>
        </r>
      </text>
    </comment>
    <comment ref="D7" authorId="0">
      <text>
        <r>
          <rPr>
            <sz val="9"/>
            <color indexed="81"/>
            <rFont val="Tahoma"/>
            <family val="2"/>
          </rPr>
          <t xml:space="preserve">There is a large variation in climate sensitivity depending on latitude.
</t>
        </r>
      </text>
    </comment>
    <comment ref="G7" authorId="0">
      <text>
        <r>
          <rPr>
            <sz val="9"/>
            <color indexed="81"/>
            <rFont val="Tahoma"/>
            <family val="2"/>
          </rPr>
          <t xml:space="preserve">An average growth capacity of 5 tons per hectare and years is assumed.
</t>
        </r>
      </text>
    </comment>
    <comment ref="I7" authorId="0">
      <text>
        <r>
          <rPr>
            <sz val="9"/>
            <color indexed="81"/>
            <rFont val="Tahoma"/>
            <family val="2"/>
          </rPr>
          <t>Assumed average precipitation minus evaporation
Total global runoff (excl. Antarctica) is about 40000 km3/year (ELIN WIDÉN-NILSSON ACTA UNIVERSITATIS UPSALIENSIS UPPSALA 2007) and total land area (ex. Antarctica) is 130 million km2</t>
        </r>
      </text>
    </comment>
    <comment ref="K7" authorId="0">
      <text>
        <r>
          <rPr>
            <sz val="9"/>
            <color indexed="81"/>
            <rFont val="Tahoma"/>
            <family val="2"/>
          </rPr>
          <t>Total urban area globally is 400000 km2  http://www.fao.org/docrep/010/ag049e/AG049E03.htm
The share of redlisted species threatened by residential and commercial developments is 0.104 (IUCN, extracted from http://www.iucnredlist.org/search)</t>
        </r>
      </text>
    </comment>
    <comment ref="C8" authorId="0">
      <text>
        <r>
          <rPr>
            <sz val="9"/>
            <color indexed="81"/>
            <rFont val="Tahoma"/>
            <family val="2"/>
          </rPr>
          <t>In urban areas population density varies beween 1800 and 44000/km2 (New geography February 4, 2015). The average population density is 4400/km2 (Demographia World Urban Areas: 11th Annual Edition: 2015.01 Built-Up Urban Areas or World Agglomerations) resulting in an extra 1.5 degrees on top of RCP6, for urban heat islands (Shushi Peng et al, Surface heat islands across 419 global big cities, Environmental science and technology, 2012, 46,696-703), resulting in an RCP8.5 scenario, which will decrease working capacity with an extra 5% (estimated from Dunnes et al. Nature Climate Change 3, 563–566 (2013)). As about 25% of the global population live in cities with more than 500000 inhabitants, the global average will be 1.25% decrease. The impact per m2 is assumed to be the same as the contribution per m2, i.e. the damage caused is the same as the damage experienced per m2.</t>
        </r>
      </text>
    </comment>
    <comment ref="D8" authorId="0">
      <text>
        <r>
          <rPr>
            <sz val="9"/>
            <color indexed="81"/>
            <rFont val="Tahoma"/>
            <family val="2"/>
          </rPr>
          <t xml:space="preserve">There is a large variation in climate sensitivity depending on latitude.
</t>
        </r>
      </text>
    </comment>
    <comment ref="I8" authorId="0">
      <text>
        <r>
          <rPr>
            <sz val="9"/>
            <color indexed="81"/>
            <rFont val="Tahoma"/>
            <family val="2"/>
          </rPr>
          <t>Assumed average precipitation minus evaporation
Total global runoff (excl. Antarctica) is about 40000 km3/year (ELIN WIDÉN-NILSSON ACTA UNIVERSITATIS UPSALIENSIS UPPSALA 2007) and total land area (ex. Antarctica) is 130 million km2</t>
        </r>
      </text>
    </comment>
    <comment ref="K8" authorId="0">
      <text>
        <r>
          <rPr>
            <sz val="9"/>
            <color indexed="81"/>
            <rFont val="Tahoma"/>
            <family val="2"/>
          </rPr>
          <t>Total urban area globally is 400000 km2  http://www.fao.org/docrep/010/ag049e/AG049E03.htm
The share of redlisted species threatened by residential and commercial developments is 0.104 (IUCN, extracted from http://www.iucnredlist.org/search)</t>
        </r>
      </text>
    </comment>
    <comment ref="C9" authorId="0">
      <text>
        <r>
          <rPr>
            <sz val="9"/>
            <color indexed="81"/>
            <rFont val="Tahoma"/>
            <family val="2"/>
          </rPr>
          <t>In urban areas population density varies beween 1800 and 44000/km2 (New geography February 4, 2015). The average population density is 4400/km2 (Demographia World Urban Areas: 11th Annual Edition: 2015.01 Built-Up Urban Areas or World Agglomerations) resulting in an extra 1.5 degrees on top of RCP6, for urban heat islands (Shushi Peng et al, Surface heat islands across 419 global big cities, Environmental science and technology, 2012, 46,696-703), resulting in an RCP8.5 scenario, which will decrease working capacity with an extra 5% (estimated from Dunnes et al. Nature Climate Change 3, 563–566 (2013)). As about 25% of the global population live in cities with more than 500000 inhabitants, the global average will be 1.25% decrease. The impact per m2 is assumed to be the same as the contribution per m2, i.e. the damage caused is the same as the damage experienced per m2.</t>
        </r>
      </text>
    </comment>
    <comment ref="D9" authorId="0">
      <text>
        <r>
          <rPr>
            <sz val="9"/>
            <color indexed="81"/>
            <rFont val="Tahoma"/>
            <family val="2"/>
          </rPr>
          <t xml:space="preserve">There is a large variation in climate sensitivity depending on latitude.
</t>
        </r>
      </text>
    </comment>
    <comment ref="E9" authorId="0">
      <text>
        <r>
          <rPr>
            <sz val="9"/>
            <color indexed="81"/>
            <rFont val="Tahoma"/>
            <family val="2"/>
          </rPr>
          <t xml:space="preserve">An average production capacity of 6 tons/hectare and year is assumed
</t>
        </r>
      </text>
    </comment>
    <comment ref="I9" authorId="0">
      <text>
        <r>
          <rPr>
            <sz val="9"/>
            <color indexed="81"/>
            <rFont val="Tahoma"/>
            <family val="2"/>
          </rPr>
          <t>Assumed average precipitation minus evaporation
Total global runoff (excl. Antarctica) is about 40000 km3/year (ELIN WIDÉN-NILSSON ACTA UNIVERSITATIS UPSALIENSIS UPPSALA 2007) and total land area (ex. Antarctica) is 130 million km2</t>
        </r>
      </text>
    </comment>
    <comment ref="K9" authorId="0">
      <text>
        <r>
          <rPr>
            <sz val="9"/>
            <color indexed="81"/>
            <rFont val="Tahoma"/>
            <family val="2"/>
          </rPr>
          <t xml:space="preserve">The share of redlisted species due to commercial and industrial areas are 0.026. The total area of commercial and industrial activities is estimated to 200000 km2.
</t>
        </r>
      </text>
    </comment>
    <comment ref="C10" authorId="0">
      <text>
        <r>
          <rPr>
            <sz val="9"/>
            <color indexed="81"/>
            <rFont val="Tahoma"/>
            <family val="2"/>
          </rPr>
          <t>In urban areas population density varies beween 1800 and 44000/km2 (New geography February 4, 2015). The average population density is 4400/km2 (Demographia World Urban Areas: 11th Annual Edition: 2015.01 Built-Up Urban Areas or World Agglomerations) resulting in an extra 1.5 degrees on top of RCP6, for urban heat islands (Shushi Peng et al, Surface heat islands across 419 global big cities, Environmental science and technology, 2012, 46,696-703), resulting in an RCP8.5 scenario, which will decrease working capacity with an extra 5% (estimated from Dunnes et al. Nature Climate Change 3, 563–566 (2013)). As about 25% of the global population live in cities with more than 500000 inhabitants, the global average will be 1.25% decrease. The impact per m2 is assumed to be the same as the contribution per m2, i.e. the damage caused is the same as the damage experienced per m2.</t>
        </r>
      </text>
    </comment>
    <comment ref="D10" authorId="0">
      <text>
        <r>
          <rPr>
            <sz val="9"/>
            <color indexed="81"/>
            <rFont val="Tahoma"/>
            <family val="2"/>
          </rPr>
          <t xml:space="preserve">There is a large variation in climate sensitivity depending on latitude.
</t>
        </r>
      </text>
    </comment>
    <comment ref="G10" authorId="0">
      <text>
        <r>
          <rPr>
            <sz val="9"/>
            <color indexed="81"/>
            <rFont val="Tahoma"/>
            <family val="2"/>
          </rPr>
          <t xml:space="preserve">An average growth capacity of 5 tons per hectare and years is assumed.
</t>
        </r>
      </text>
    </comment>
    <comment ref="I10" authorId="0">
      <text>
        <r>
          <rPr>
            <sz val="9"/>
            <color indexed="81"/>
            <rFont val="Tahoma"/>
            <family val="2"/>
          </rPr>
          <t>Assumed average precipitation minus evaporation
Total global runoff (excl. Antarctica) is about 40000 km3/year (ELIN WIDÉN-NILSSON ACTA UNIVERSITATIS UPSALIENSIS UPPSALA 2007) and total land area (ex. Antarctica) is 130 million km2</t>
        </r>
      </text>
    </comment>
    <comment ref="K10" authorId="0">
      <text>
        <r>
          <rPr>
            <sz val="9"/>
            <color indexed="81"/>
            <rFont val="Tahoma"/>
            <family val="2"/>
          </rPr>
          <t xml:space="preserve">The share of redlisted species due to commercial and industrial areas are 0.026. The total area of commercial and industrial activities is estimated to 200000 km2.
</t>
        </r>
      </text>
    </comment>
    <comment ref="C11" authorId="0">
      <text>
        <r>
          <rPr>
            <sz val="9"/>
            <color indexed="81"/>
            <rFont val="Tahoma"/>
            <family val="2"/>
          </rPr>
          <t>In urban areas population density varies beween 1800 and 44000/km2 (New geography February 4, 2015). The average population density is 4400/km2 (Demographia World Urban Areas: 11th Annual Edition: 2015.01 Built-Up Urban Areas or World Agglomerations) resulting in an extra 1.5 degrees on top of RCP6, for urban heat islands (Shushi Peng et al, Surface heat islands across 419 global big cities, Environmental science and technology, 2012, 46,696-703), resulting in an RCP8.5 scenario, which will decrease working capacity with an extra 5% (estimated from Dunnes et al. Nature Climate Change 3, 563–566 (2013)). As about 25% of the global population live in cities with more than 500000 inhabitants, the global average will be 1.25% decrease. The impact per m2 is assumed to be the same as the contribution per m2, i.e. the damage caused is the same as the damage experienced per m2.</t>
        </r>
      </text>
    </comment>
    <comment ref="D11" authorId="0">
      <text>
        <r>
          <rPr>
            <sz val="9"/>
            <color indexed="81"/>
            <rFont val="Tahoma"/>
            <family val="2"/>
          </rPr>
          <t xml:space="preserve">There is a large variation in climate sensitivity depending on latitude.
</t>
        </r>
      </text>
    </comment>
    <comment ref="I11" authorId="0">
      <text>
        <r>
          <rPr>
            <sz val="9"/>
            <color indexed="81"/>
            <rFont val="Tahoma"/>
            <family val="2"/>
          </rPr>
          <t>Assumed average precipitation minus evaporation
Total global runoff (excl. Antarctica) is about 40000 km3/year (ELIN WIDÉN-NILSSON ACTA UNIVERSITATIS UPSALIENSIS UPPSALA 2007) and total land area (ex. Antarctica) is 130 million km2</t>
        </r>
      </text>
    </comment>
    <comment ref="K11" authorId="0">
      <text>
        <r>
          <rPr>
            <sz val="9"/>
            <color indexed="81"/>
            <rFont val="Tahoma"/>
            <family val="2"/>
          </rPr>
          <t xml:space="preserve">The share of redlisted species due to commercial and industrial areas are 0.026. The total area of commercial and industrial activities is estimated to 200000 km2.
</t>
        </r>
      </text>
    </comment>
    <comment ref="K12" authorId="0">
      <text>
        <r>
          <rPr>
            <sz val="9"/>
            <color indexed="81"/>
            <rFont val="Tahoma"/>
            <family val="2"/>
          </rPr>
          <t>The area covered is unknown. As an approximation, the same area as is covered by urban developments is assumed.
The share of species redlisted due to tourism and recreational areas is 0.037 (IUCN 2014)</t>
        </r>
      </text>
    </comment>
    <comment ref="C14" authorId="0">
      <text>
        <r>
          <rPr>
            <sz val="9"/>
            <color indexed="81"/>
            <rFont val="Tahoma"/>
            <family val="2"/>
          </rPr>
          <t xml:space="preserve">In a 100000 cities, heat island temperatures difference are typically 2/3 of the ones in a 1 milj city, resulting in about 1 degrees temperature increase. (Oke, T, Atmospheric Environment PergamonP ress1 973. Vol. 7, pp. 769-779) The corresponding reduction of working capacity is estimated to around 1%.
</t>
        </r>
      </text>
    </comment>
    <comment ref="D14" authorId="0">
      <text>
        <r>
          <rPr>
            <sz val="9"/>
            <color indexed="81"/>
            <rFont val="Tahoma"/>
            <family val="2"/>
          </rPr>
          <t xml:space="preserve">There is a large variation in climate sensitivity depending on latitude.
</t>
        </r>
      </text>
    </comment>
    <comment ref="E14" authorId="0">
      <text>
        <r>
          <rPr>
            <sz val="9"/>
            <color indexed="81"/>
            <rFont val="Tahoma"/>
            <family val="2"/>
          </rPr>
          <t xml:space="preserve">An average production capacity of 6 tons/hectare and year is assumed
</t>
        </r>
      </text>
    </comment>
    <comment ref="I14" authorId="0">
      <text>
        <r>
          <rPr>
            <sz val="9"/>
            <color indexed="81"/>
            <rFont val="Tahoma"/>
            <family val="2"/>
          </rPr>
          <t>Assumed average precipitation minus evaporation
Total global runoff (excl. Antarctica) is about 40000 km3/year (ELIN WIDÉN-NILSSON ACTA UNIVERSITATIS UPSALIENSIS UPPSALA 2007) and total land area (ex. Antarctica) is 130 million km2</t>
        </r>
      </text>
    </comment>
    <comment ref="K14" authorId="0">
      <text>
        <r>
          <rPr>
            <sz val="9"/>
            <color indexed="81"/>
            <rFont val="Tahoma"/>
            <family val="2"/>
          </rPr>
          <t>Total urban area globally is 400000 km2  http://www.fao.org/docrep/010/ag049e/AG049E03.htm
The share of redlisted species threatened by residential and commercial developments is 0.104 (IUCN, extracted from http://www.iucnredlist.org/search)</t>
        </r>
      </text>
    </comment>
    <comment ref="C15" authorId="0">
      <text>
        <r>
          <rPr>
            <sz val="9"/>
            <color indexed="81"/>
            <rFont val="Tahoma"/>
            <family val="2"/>
          </rPr>
          <t xml:space="preserve">In a 100000 cities, heat island temperatures difference are typically 2/3 of the ones in a 1 milj city, resulting in about 1 degrees temperature increase. (Oke, T, Atmospheric Environment PergamonP ress1 973. Vol. 7, pp. 769-779) The corresponding reduction of working capacity is estimated to around 1%.
</t>
        </r>
      </text>
    </comment>
    <comment ref="D15" authorId="0">
      <text>
        <r>
          <rPr>
            <sz val="9"/>
            <color indexed="81"/>
            <rFont val="Tahoma"/>
            <family val="2"/>
          </rPr>
          <t xml:space="preserve">There is a large variation in climate sensitivity depending on latitude.
</t>
        </r>
      </text>
    </comment>
    <comment ref="G15" authorId="0">
      <text>
        <r>
          <rPr>
            <sz val="9"/>
            <color indexed="81"/>
            <rFont val="Tahoma"/>
            <family val="2"/>
          </rPr>
          <t xml:space="preserve">An average growth capacity of 5 tons per hectare and years is assumed.
</t>
        </r>
      </text>
    </comment>
    <comment ref="I15" authorId="0">
      <text>
        <r>
          <rPr>
            <sz val="9"/>
            <color indexed="81"/>
            <rFont val="Tahoma"/>
            <family val="2"/>
          </rPr>
          <t>Assumed average precipitation minus evaporation
Total global runoff (excl. Antarctica) is about 40000 km3/year (ELIN WIDÉN-NILSSON ACTA UNIVERSITATIS UPSALIENSIS UPPSALA 2007) and total land area (ex. Antarctica) is 130 million km2</t>
        </r>
      </text>
    </comment>
    <comment ref="K15" authorId="0">
      <text>
        <r>
          <rPr>
            <sz val="9"/>
            <color indexed="81"/>
            <rFont val="Tahoma"/>
            <family val="2"/>
          </rPr>
          <t>Total urban area globally is 400000 km2  http://www.fao.org/docrep/010/ag049e/AG049E03.htm
The share of redlisted species threatened by residential and commercial developments is 0.104 (IUCN, extracted from http://www.iucnredlist.org/search)</t>
        </r>
      </text>
    </comment>
    <comment ref="C16" authorId="0">
      <text>
        <r>
          <rPr>
            <sz val="9"/>
            <color indexed="81"/>
            <rFont val="Tahoma"/>
            <family val="2"/>
          </rPr>
          <t xml:space="preserve">In a 100000 cities, heat island temperatures difference are typically 2/3 of the ones in a 1 milj city, resulting in about 1 degrees temperature increase. (Oke, T, Atmospheric Environment PergamonP ress1 973. Vol. 7, pp. 769-779) The corresponding reduction of working capacity is estimated to around 1%.
</t>
        </r>
      </text>
    </comment>
    <comment ref="D16" authorId="0">
      <text>
        <r>
          <rPr>
            <sz val="9"/>
            <color indexed="81"/>
            <rFont val="Tahoma"/>
            <family val="2"/>
          </rPr>
          <t xml:space="preserve">There is a large variation in climate sensitivity depending on latitude.
</t>
        </r>
      </text>
    </comment>
    <comment ref="I16" authorId="0">
      <text>
        <r>
          <rPr>
            <sz val="9"/>
            <color indexed="81"/>
            <rFont val="Tahoma"/>
            <family val="2"/>
          </rPr>
          <t>Assumed average precipitation minus evaporation
Total global runoff (excl. Antarctica) is about 40000 km3/year (ELIN WIDÉN-NILSSON ACTA UNIVERSITATIS UPSALIENSIS UPPSALA 2007) and total land area (ex. Antarctica) is 130 million km2</t>
        </r>
      </text>
    </comment>
    <comment ref="K16" authorId="0">
      <text>
        <r>
          <rPr>
            <sz val="9"/>
            <color indexed="81"/>
            <rFont val="Tahoma"/>
            <family val="2"/>
          </rPr>
          <t>Total urban area globally is 400000 km2  http://www.fao.org/docrep/010/ag049e/AG049E03.htm
The share of redlisted species threatened by residential and commercial developments is 0.104 (IUCN, extracted from http://www.iucnredlist.org/search)</t>
        </r>
      </text>
    </comment>
    <comment ref="C17" authorId="0">
      <text>
        <r>
          <rPr>
            <sz val="9"/>
            <color indexed="81"/>
            <rFont val="Tahoma"/>
            <family val="2"/>
          </rPr>
          <t xml:space="preserve">In a 100000 cities, heat island temperatures difference are typically 2/3 of the ones in a 1 milj city, resulting in about 1 degrees temperature increase. (Oke, T, Atmospheric Environment PergamonP ress1 973. Vol. 7, pp. 769-779) The corresponding reduction of working capacity is estimated to around 1%.
</t>
        </r>
      </text>
    </comment>
    <comment ref="D17" authorId="0">
      <text>
        <r>
          <rPr>
            <sz val="9"/>
            <color indexed="81"/>
            <rFont val="Tahoma"/>
            <family val="2"/>
          </rPr>
          <t xml:space="preserve">There is a large variation in climate sensitivity depending on latitude.
</t>
        </r>
      </text>
    </comment>
    <comment ref="E17" authorId="0">
      <text>
        <r>
          <rPr>
            <sz val="9"/>
            <color indexed="81"/>
            <rFont val="Tahoma"/>
            <family val="2"/>
          </rPr>
          <t xml:space="preserve">An average production capacity of 6 tons/hectare and year is assumed
</t>
        </r>
      </text>
    </comment>
    <comment ref="I17" authorId="0">
      <text>
        <r>
          <rPr>
            <sz val="9"/>
            <color indexed="81"/>
            <rFont val="Tahoma"/>
            <family val="2"/>
          </rPr>
          <t>Assumed average precipitation minus evaporation
Total global runoff (excl. Antarctica) is about 40000 km3/year (ELIN WIDÉN-NILSSON ACTA UNIVERSITATIS UPSALIENSIS UPPSALA 2007) and total land area (ex. Antarctica) is 130 million km2</t>
        </r>
      </text>
    </comment>
    <comment ref="K17" authorId="0">
      <text>
        <r>
          <rPr>
            <sz val="9"/>
            <color indexed="81"/>
            <rFont val="Tahoma"/>
            <family val="2"/>
          </rPr>
          <t xml:space="preserve">The share of redlisted species due to commercial and industrial areas are 0.026. The total area of commercial and industrial activities is estimated to 200000 km2.
</t>
        </r>
      </text>
    </comment>
    <comment ref="C18" authorId="0">
      <text>
        <r>
          <rPr>
            <sz val="9"/>
            <color indexed="81"/>
            <rFont val="Tahoma"/>
            <family val="2"/>
          </rPr>
          <t xml:space="preserve">In a 100000 cities, heat island temperatures difference are typically 2/3 of the ones in a 1 milj city, resulting in about 1 degrees temperature increase. (Oke, T, Atmospheric Environment PergamonP ress1 973. Vol. 7, pp. 769-779) The corresponding reduction of working capacity is estimated to around 1%.
</t>
        </r>
      </text>
    </comment>
    <comment ref="D18" authorId="0">
      <text>
        <r>
          <rPr>
            <sz val="9"/>
            <color indexed="81"/>
            <rFont val="Tahoma"/>
            <family val="2"/>
          </rPr>
          <t xml:space="preserve">There is a large variation in climate sensitivity depending on latitude.
</t>
        </r>
      </text>
    </comment>
    <comment ref="G18" authorId="0">
      <text>
        <r>
          <rPr>
            <sz val="9"/>
            <color indexed="81"/>
            <rFont val="Tahoma"/>
            <family val="2"/>
          </rPr>
          <t xml:space="preserve">An average growth capacity of 5 tons per hectare and years is assumed.
</t>
        </r>
      </text>
    </comment>
    <comment ref="I18" authorId="0">
      <text>
        <r>
          <rPr>
            <sz val="9"/>
            <color indexed="81"/>
            <rFont val="Tahoma"/>
            <family val="2"/>
          </rPr>
          <t>Assumed average precipitation minus evaporation
Total global runoff (excl. Antarctica) is about 40000 km3/year (ELIN WIDÉN-NILSSON ACTA UNIVERSITATIS UPSALIENSIS UPPSALA 2007) and total land area (ex. Antarctica) is 130 million km2</t>
        </r>
      </text>
    </comment>
    <comment ref="K18" authorId="0">
      <text>
        <r>
          <rPr>
            <sz val="9"/>
            <color indexed="81"/>
            <rFont val="Tahoma"/>
            <family val="2"/>
          </rPr>
          <t xml:space="preserve">The share of redlisted species due to commercial and industrial areas are 0.026. The total area of commercial and industrial activities is estimated to 200000 km2.
</t>
        </r>
      </text>
    </comment>
    <comment ref="C19" authorId="0">
      <text>
        <r>
          <rPr>
            <sz val="9"/>
            <color indexed="81"/>
            <rFont val="Tahoma"/>
            <family val="2"/>
          </rPr>
          <t xml:space="preserve">In a 100000 cities, heat island temperatures difference are typically 2/3 of the ones in a 1 milj city, resulting in about 1 degrees temperature increase. (Oke, T, Atmospheric Environment PergamonP ress1 973. Vol. 7, pp. 769-779) The corresponding reduction of working capacity is estimated to around 1%.
</t>
        </r>
      </text>
    </comment>
    <comment ref="D19" authorId="0">
      <text>
        <r>
          <rPr>
            <sz val="9"/>
            <color indexed="81"/>
            <rFont val="Tahoma"/>
            <family val="2"/>
          </rPr>
          <t xml:space="preserve">There is a large variation in climate sensitivity depending on latitude.
</t>
        </r>
      </text>
    </comment>
    <comment ref="I19" authorId="0">
      <text>
        <r>
          <rPr>
            <sz val="9"/>
            <color indexed="81"/>
            <rFont val="Tahoma"/>
            <family val="2"/>
          </rPr>
          <t>Assumed average precipitation minus evaporation
Total global runoff (excl. Antarctica) is about 40000 km3/year (ELIN WIDÉN-NILSSON ACTA UNIVERSITATIS UPSALIENSIS UPPSALA 2007) and total land area (ex. Antarctica) is 130 million km2</t>
        </r>
      </text>
    </comment>
    <comment ref="K19" authorId="0">
      <text>
        <r>
          <rPr>
            <sz val="9"/>
            <color indexed="81"/>
            <rFont val="Tahoma"/>
            <family val="2"/>
          </rPr>
          <t xml:space="preserve">The share of redlisted species due to commercial and industrial areas are 0.026. The total area of commercial and industrial activities is estimated to 200000 km2.
</t>
        </r>
      </text>
    </comment>
    <comment ref="K20" authorId="0">
      <text>
        <r>
          <rPr>
            <sz val="9"/>
            <color indexed="81"/>
            <rFont val="Tahoma"/>
            <family val="2"/>
          </rPr>
          <t xml:space="preserve">The area covered is unknown. As an approximation, the same area as is covered by urban developments is assumed.
</t>
        </r>
      </text>
    </comment>
    <comment ref="K22" authorId="0">
      <text>
        <r>
          <rPr>
            <sz val="9"/>
            <color indexed="81"/>
            <rFont val="Tahoma"/>
            <family val="2"/>
          </rPr>
          <t>Total global arable land is  
1.53E13 m2 according to FAO</t>
        </r>
      </text>
    </comment>
    <comment ref="K23" authorId="0">
      <text>
        <r>
          <rPr>
            <sz val="9"/>
            <color indexed="81"/>
            <rFont val="Tahoma"/>
            <family val="2"/>
          </rPr>
          <t xml:space="preserve">The average share of redlisted species threatened by wood and pulp plantations is 0.024 (IUNC 2014). The total area of wood plantations in the world is 120 million ha. (http://www.fao.org/docrep/004/y1997e/y1997e0n.jpg)
</t>
        </r>
      </text>
    </comment>
    <comment ref="K24" authorId="0">
      <text>
        <r>
          <rPr>
            <sz val="9"/>
            <color indexed="81"/>
            <rFont val="Tahoma"/>
            <family val="2"/>
          </rPr>
          <t>The share of redlisted species threatened by livestock farming and ranching is 0.112 (IUCN 2014). The area used for livestock farming and ranching is 3.36E13 m2 (FAO 2014).</t>
        </r>
      </text>
    </comment>
    <comment ref="K25" authorId="0">
      <text>
        <r>
          <rPr>
            <sz val="9"/>
            <color indexed="81"/>
            <rFont val="Tahoma"/>
            <family val="2"/>
          </rPr>
          <t xml:space="preserve">The average share of redlisted species (animalia and plantae) threatened by Marine and freshwater aquaculture (IUCN 2014) is 0.0042. Global production from aquaculture is 67 million tons 2012 (http://www.fao.org/aquaculture/en/).
</t>
        </r>
      </text>
    </comment>
    <comment ref="K27" authorId="0">
      <text>
        <r>
          <rPr>
            <sz val="9"/>
            <color indexed="81"/>
            <rFont val="Tahoma"/>
            <family val="2"/>
          </rPr>
          <t xml:space="preserve">The average share of redlisted species (animalia and plantae) threatened by oil and gas drilling (IUCN 2014) is 0.00176. The global production of oil and gas is 3.53E12 kg/year.
</t>
        </r>
      </text>
    </comment>
    <comment ref="A28" authorId="0">
      <text>
        <r>
          <rPr>
            <sz val="9"/>
            <color indexed="81"/>
            <rFont val="Tahoma"/>
            <family val="2"/>
          </rPr>
          <t xml:space="preserve">Actual transformed land (open mining or tailings)
</t>
        </r>
      </text>
    </comment>
    <comment ref="G28" authorId="0">
      <text>
        <r>
          <rPr>
            <sz val="9"/>
            <color indexed="81"/>
            <rFont val="Tahoma"/>
            <family val="2"/>
          </rPr>
          <t xml:space="preserve">An average growth capacity of 5 tons per hectare and years is assumed.
</t>
        </r>
      </text>
    </comment>
    <comment ref="I28" authorId="0">
      <text>
        <r>
          <rPr>
            <sz val="9"/>
            <color indexed="81"/>
            <rFont val="Tahoma"/>
            <family val="2"/>
          </rPr>
          <t>Assumed average precipitation minus evaporation
Total global runoff (excl. Antarctica) is about 40000 km3/year (ELIN WIDÉN-NILSSON ACTA UNIVERSITATIS UPSALIENSIS UPPSALA 2007) and total land area (ex. Antarctica) is 130 million km2</t>
        </r>
      </text>
    </comment>
    <comment ref="K28" authorId="0">
      <text>
        <r>
          <rPr>
            <sz val="9"/>
            <color indexed="81"/>
            <rFont val="Tahoma"/>
            <family val="2"/>
          </rPr>
          <t>The average share of redlisted species (animalia and plantae) threatened by mining and quarrying (IUCN 2014) is 0.0378. Mining areas cover 0.37 % of the EU surface area 
http://ec.europa.eu/eurostat/statistics-explained/index.php/Land_cover,_land_use_and_landIf applied to global conditions the total area would be 0.0037*148940000 km2 = 551078 km2</t>
        </r>
      </text>
    </comment>
    <comment ref="A29" authorId="0">
      <text>
        <r>
          <rPr>
            <sz val="9"/>
            <color indexed="81"/>
            <rFont val="Tahoma"/>
            <family val="2"/>
          </rPr>
          <t xml:space="preserve">Assumed to concern arable land
</t>
        </r>
      </text>
    </comment>
    <comment ref="K29" authorId="0">
      <text>
        <r>
          <rPr>
            <sz val="9"/>
            <color indexed="81"/>
            <rFont val="Tahoma"/>
            <family val="2"/>
          </rPr>
          <t xml:space="preserve">The average share of redlisted species (animalia and plantae) threatened by energy crops (IUCN 2014) is 0.00118.The area used for production of energy crops is estimated by FAO to 40 million ha.
</t>
        </r>
      </text>
    </comment>
    <comment ref="G31" authorId="0">
      <text>
        <r>
          <rPr>
            <sz val="9"/>
            <color indexed="81"/>
            <rFont val="Tahoma"/>
            <family val="2"/>
          </rPr>
          <t xml:space="preserve">An average growth capacity of 5 tons per hectare and years is assumed.
</t>
        </r>
      </text>
    </comment>
    <comment ref="I31" authorId="0">
      <text>
        <r>
          <rPr>
            <sz val="9"/>
            <color indexed="81"/>
            <rFont val="Tahoma"/>
            <family val="2"/>
          </rPr>
          <t>Assumed average precipitation minus evaporation
Total global runoff (excl. Antarctica) is about 40000 km3/year (ELIN WIDÉN-NILSSON ACTA UNIVERSITATIS UPSALIENSIS UPPSALA 2007) and total land area (ex. Antarctica) is 130 million km2</t>
        </r>
      </text>
    </comment>
    <comment ref="K31" authorId="0">
      <text>
        <r>
          <rPr>
            <sz val="9"/>
            <color indexed="81"/>
            <rFont val="Tahoma"/>
            <family val="2"/>
          </rPr>
          <t xml:space="preserve">The average share of redlisted species (animalia and plantae) threatened by roads and railroads (IUCN 2014) is 0.0245.The area used for roads and railroads is estimated to 6.11E9 m2 from World Bank statistics on road&amp; rail lengths and an assumption of an average width of 7 m.
</t>
        </r>
      </text>
    </comment>
    <comment ref="K32" authorId="0">
      <text>
        <r>
          <rPr>
            <sz val="9"/>
            <color indexed="81"/>
            <rFont val="Tahoma"/>
            <family val="2"/>
          </rPr>
          <t>The average share of redlisted species (animalia and plantae) threatened by energy crops (IUCN 2014) is 0.0024.The area used for utility and service lines is difficult to assess as some utility lines are underground and there is only temporary interference with biodiversity. The area used for power transmission is around 200000 hectars in Sweden (Jordbruksverket Rapport 2012:36). That would mean about 0.02 hectar/person or globally 1.4 million km2</t>
        </r>
      </text>
    </comment>
    <comment ref="A34" authorId="0">
      <text>
        <r>
          <rPr>
            <b/>
            <sz val="9"/>
            <color indexed="81"/>
            <rFont val="Tahoma"/>
            <family val="2"/>
          </rPr>
          <t>Bengt Steen:</t>
        </r>
        <r>
          <rPr>
            <sz val="9"/>
            <color indexed="81"/>
            <rFont val="Tahoma"/>
            <family val="2"/>
          </rPr>
          <t xml:space="preserve">
</t>
        </r>
      </text>
    </comment>
  </commentList>
</comments>
</file>

<file path=xl/comments15.xml><?xml version="1.0" encoding="utf-8"?>
<comments xmlns="http://schemas.openxmlformats.org/spreadsheetml/2006/main">
  <authors>
    <author>Bengt Steen</author>
  </authors>
  <commentList>
    <comment ref="F7" authorId="0">
      <text>
        <r>
          <rPr>
            <sz val="9"/>
            <color indexed="81"/>
            <rFont val="Tahoma"/>
            <family val="2"/>
          </rPr>
          <t xml:space="preserve">A rough guess is that 4 seconds are required to collect a piecei of litter on the groud or at a sewa shore.
</t>
        </r>
      </text>
    </comment>
    <comment ref="J8" authorId="0">
      <text>
        <r>
          <rPr>
            <sz val="9"/>
            <color indexed="81"/>
            <rFont val="Tahoma"/>
            <family val="2"/>
          </rPr>
          <t>Plastic waste causes $13 billion in annual damage to marine ecosystems, says UN agency (http://www.un.org/apps/news/story.asp?NewsID=48113#.VGDzBMnYfaI)
Plastic wastenis a big problem for marine environments, but the quantitative knowledge on impacts is low. The cost estimate abbove does not meet scientific requirements, but is an indications of the sigficicance of the problem.
"It is estimated that 10 to 20 million tonnes of plastic is finding its way into the world’s oceans each year, costing approximately US$13 billion per year in environmental damage to marine ecosystems. This includes financial losses incurred by fisheries and tourism as well as time spent cleaning up beaches."</t>
        </r>
      </text>
    </comment>
  </commentList>
</comments>
</file>

<file path=xl/comments2.xml><?xml version="1.0" encoding="utf-8"?>
<comments xmlns="http://schemas.openxmlformats.org/spreadsheetml/2006/main">
  <authors>
    <author>Bengt Steen</author>
    <author>Elisabet Hallberg</author>
  </authors>
  <commentList>
    <comment ref="A1" authorId="0">
      <text>
        <r>
          <rPr>
            <sz val="9"/>
            <color indexed="81"/>
            <rFont val="Tahoma"/>
            <family val="2"/>
          </rPr>
          <t>The restoration of substances close to those in fossil oil is approximated by production of hydrocarbon from wood or other biomass using a Fisher-Tropsch process</t>
        </r>
      </text>
    </comment>
    <comment ref="E15" authorId="1">
      <text>
        <r>
          <rPr>
            <b/>
            <sz val="8"/>
            <color indexed="81"/>
            <rFont val="Tahoma"/>
            <family val="2"/>
          </rPr>
          <t>Elisabet Hallberg:</t>
        </r>
        <r>
          <rPr>
            <sz val="8"/>
            <color indexed="81"/>
            <rFont val="Tahoma"/>
            <family val="2"/>
          </rPr>
          <t xml:space="preserve">
oilvalue
Linked to Gabi sheet</t>
        </r>
      </text>
    </comment>
    <comment ref="C42" authorId="0">
      <text>
        <r>
          <rPr>
            <sz val="9"/>
            <color indexed="81"/>
            <rFont val="Tahoma"/>
            <family val="2"/>
          </rPr>
          <t>Normal world prices for pulpwood is 80 $/odmt (oven dry metric ton) corrresponding to 57 €/ton (Wood Resource Quarterly - 3Q/2011)</t>
        </r>
      </text>
    </comment>
    <comment ref="D42" authorId="0">
      <text>
        <r>
          <rPr>
            <sz val="9"/>
            <color indexed="81"/>
            <rFont val="Tahoma"/>
            <family val="2"/>
          </rPr>
          <t>Optimal charcoal yields are 40-50% of dry wood mass.
Besides charcoal, char and volatile gases are produced, e.g. CO and methane. An energy balance on the equilibrium product mixture from the model compound cellulose at 400 °C and 1 MPa indicates that the carbon productretains 52.2% of the higher heating value (HHV) of the cellulose (17.4 MJ/kg), and 36.2% is captured by the gas products
(primarily methane). The remaining 2.0 MJ/kg is released as heat by the exothermic pyrolysis reaction.  (Antal J and GrØnli M, The Art, Science, and Technology of Charcoal Production, Ind. Eng. Chem. Res. 2003, 42, 1619-1640) 
As a first approximation 52.2/(52.2+36.2) = 59% of the wood feed is allocated to Charcoal.</t>
        </r>
      </text>
    </comment>
    <comment ref="E42" authorId="0">
      <text>
        <r>
          <rPr>
            <sz val="9"/>
            <color indexed="81"/>
            <rFont val="Tahoma"/>
            <family val="2"/>
          </rPr>
          <t>Normal world prices for pulpwood is 80 $/odmt (oven dry metric ton) corrresponding to 57 €/ton (Wood Resource Quarterly - 3Q/2011)</t>
        </r>
      </text>
    </comment>
    <comment ref="F42" authorId="0">
      <text>
        <r>
          <rPr>
            <sz val="9"/>
            <color indexed="81"/>
            <rFont val="Tahoma"/>
            <family val="2"/>
          </rPr>
          <t>Optimal charcoal yields are 40-50% of dry wood mass.
Besides charcoal, char and volatile gases are produced, e.g. CO and methane. An energy balance on the equilibrium product mixture from the model compound cellulose at 400 °C and 1 MPa indicates that the carbon productretains 52.2% of the higher heating value (HHV) of the cellulose (17.4 MJ/kg), and 36.2% is captured by the gas products
(primarily methane). The remaining 2.0 MJ/kg is released as heat by the exothermic pyrolysis reaction.  (Antal J and GrØnli M, The Art, Science, and Technology of Charcoal Production, Ind. Eng. Chem. Res. 2003, 42, 1619-1640) 
As a first approximation 52.2/(52.2+36.2) = 59% of the wood feed is allocated to Charcoal.</t>
        </r>
      </text>
    </comment>
    <comment ref="C43" authorId="0">
      <text>
        <r>
          <rPr>
            <sz val="9"/>
            <color indexed="81"/>
            <rFont val="Tahoma"/>
            <family val="2"/>
          </rPr>
          <t xml:space="preserve">Terry NORGATE and David LANGBERG, Environmental and Economic Aspects of Charcoal Use in
Steelmaking, ISIJ International, Vol. 49 (2009), No. 4, pp. 587–595
</t>
        </r>
      </text>
    </comment>
    <comment ref="A47" authorId="0">
      <text>
        <r>
          <rPr>
            <sz val="9"/>
            <color indexed="81"/>
            <rFont val="Tahoma"/>
            <family val="2"/>
          </rPr>
          <t xml:space="preserve">Is given the same value as hard coal, with respect to heating value, as an approximation of its carbon resource value
</t>
        </r>
      </text>
    </comment>
    <comment ref="B58" authorId="0">
      <text>
        <r>
          <rPr>
            <sz val="9"/>
            <color indexed="81"/>
            <rFont val="Tahoma"/>
            <family val="2"/>
          </rPr>
          <t>An Analysis of Energy Production Costs from Anaerobic Digestion Systems on U.S. Livestock Production Facilities, United States Department of
Agriculture, Natural Resources Conservation Service, Tecnical note no1, 2007</t>
        </r>
      </text>
    </comment>
    <comment ref="B59" authorId="0">
      <text>
        <r>
          <rPr>
            <sz val="9"/>
            <color indexed="81"/>
            <rFont val="Tahoma"/>
            <family val="2"/>
          </rPr>
          <t>If woodbased, with a cost of 60 $/ton dry substance and with 40% C as in (CH2O)n. If grass crop is used the cost will be about the same. Kämpe and Andermo, Teknik för etablering av vall, Hushållningssällskapet i Skaraborg, rapport 3/10 . Accessed at 13 sept 2014. www.hushallningssallskapet.se/r
Includes capital cost for land use, which is depends on alternative use of land, for e.g. food production.</t>
        </r>
      </text>
    </comment>
  </commentList>
</comments>
</file>

<file path=xl/comments3.xml><?xml version="1.0" encoding="utf-8"?>
<comments xmlns="http://schemas.openxmlformats.org/spreadsheetml/2006/main">
  <authors>
    <author>Bengt Steen</author>
  </authors>
  <commentList>
    <comment ref="A1" authorId="0">
      <text>
        <r>
          <rPr>
            <sz val="9"/>
            <color indexed="81"/>
            <rFont val="Tahoma"/>
            <family val="2"/>
          </rPr>
          <t xml:space="preserve">Bengt Steen, A Systematic Approach to Environmental Priority Strategies in In Product Development (EPS). Version 2000 – Models and Data. Chalmers University of Technology, Centre for Environmental Assessment of Products and material Systems (CPM) Report 1999:5, Gothenburg 1999.
</t>
        </r>
      </text>
    </comment>
    <comment ref="L14" authorId="0">
      <text>
        <r>
          <rPr>
            <sz val="9"/>
            <color indexed="81"/>
            <rFont val="Tahoma"/>
            <family val="2"/>
          </rPr>
          <t>During the Second World War, aluminium was produced from silicate rock in Sweden. The mineral andalusite (Al2OSiO4) was leached by sodium hydroxide to produce aluminium oxide which was used in a similar way as bauxite (Lindberg, G. "Aluminium i Sverige", Ljungföretagen, Örebro 1973/3, (1973) (In Swedish)). The exact details of the process is not documented, but it is possible to calculate the amount of NaOH (1.48 kg/kg Al) that would be necessary to dissolve Al2O3 as Al(OH)4- ions according to the formula:
   Al2O3 + 2NaOH + 3H2O * 2 Al(OH)4- + 2Na+
The dissolved aluminate ion is then transformed to aluminium hydroxide after neutralisation with sulphuric acid.</t>
        </r>
      </text>
    </comment>
    <comment ref="F19" authorId="0">
      <text>
        <r>
          <rPr>
            <sz val="9"/>
            <color indexed="81"/>
            <rFont val="Tahoma"/>
            <family val="2"/>
          </rPr>
          <t>If the energy in the production process comes from a more sustainable source like wood, the resource impact values decrease as well as the CO2 and CH4 emissions. The remaining impact values will be from wood based process energy at 5.5010-5 ELU/MJ. In the optimized process NMVOC emissions are assumed to be practically eliminated and NOx and SOx emissions are assumed to be reduced by 50 and 90% respectively. The ground use is assumed to correspond to a 10 m deep strip-mine, preventing forestry for 100 years. The ground use will therefore be 0.03 m2 yr and kg Al. and the value for ground use will be negligible.</t>
        </r>
      </text>
    </comment>
    <comment ref="B41" authorId="0">
      <text>
        <r>
          <rPr>
            <sz val="9"/>
            <color indexed="81"/>
            <rFont val="Tahoma"/>
            <family val="2"/>
          </rPr>
          <t>Open pit mining cost distribution–industry average according to "Capital Markets Day November2008 Mine cost drivers Jan Moström President BA Mines" is
􀂃Mining 50%–(Drilling 5%–Blasting 6%–Digging 9%–Hauling 30%)
􀂃Milling 50%–(Grinding 30%–Flotation 10%–Dewatering 10%)
The pure mining cost for an open pit mine in western USA is described in
http://costs.infomine.com/costdatacenter/miningcostmodel.aspx
and would be about 3.6 $/metric ton for a 10000 ton/day bed rock mine. The capital cost would be 20 million $. If lilfe time is 10 years and with 7% discounting the cost per ton would be about 3.7 $/ton for the mining and the double for milling. Adding extra costs for leaching an precipitation we would have costs around 4 €/ton or 0,004/kg bedrock, or 0,08 €/kg Al assuming an extraction efficiency corresponding to 5% Al per kg rock.</t>
        </r>
      </text>
    </comment>
  </commentList>
</comments>
</file>

<file path=xl/comments4.xml><?xml version="1.0" encoding="utf-8"?>
<comments xmlns="http://schemas.openxmlformats.org/spreadsheetml/2006/main">
  <authors>
    <author>Bengt Steen</author>
  </authors>
  <commentList>
    <comment ref="A1" authorId="0">
      <text>
        <r>
          <rPr>
            <sz val="9"/>
            <color indexed="81"/>
            <rFont val="Tahoma"/>
            <family val="2"/>
          </rPr>
          <t xml:space="preserve">Bengt Steen, A Systematic Approach to Environmental Priority Strategies in In Product Development (EPS). Version 2000 – Models and Data. Chalmers University of Technology, Centre for Environmental Assessment of Products and material Systems (CPM) Report 1999:5, Gothenburg 1999.
</t>
        </r>
      </text>
    </comment>
    <comment ref="C27" authorId="0">
      <text>
        <r>
          <rPr>
            <sz val="9"/>
            <color indexed="81"/>
            <rFont val="Tahoma"/>
            <family val="2"/>
          </rPr>
          <t>According to the presentation "Open pit mining cost distribution–industry average, Capital Markets Day November2008 Mine cost drivers Jan Moström President BA Mines" the costs for mining and milling are
􀂃Mining 50%–(Drilling 5%–Blasting 6%–Digging 9%–Hauling 30%)
􀂃Milling 50%–(Grinding 30%–Flotation 10%–Dewatering 10%)
The pure mining cost for an open pit mine in western USA is described in
http://costs.infomine.com/costdatacenter/miningcostmodel.aspx
and would be about 3.6 $/metric ton for a 10000 ton/day bed rock mine. The capital cost would be 20 million $. If lilfe time is 10 years and with 7% discounting the cost per ton would be about 3.7 $/ton for the mining and the double when including milling. Adding extra costs for leaching an precipitation we would have costs around 4 €/ton or 0,004/kg bedrock.</t>
        </r>
      </text>
    </comment>
  </commentList>
</comments>
</file>

<file path=xl/comments5.xml><?xml version="1.0" encoding="utf-8"?>
<comments xmlns="http://schemas.openxmlformats.org/spreadsheetml/2006/main">
  <authors>
    <author>Bengt Steen</author>
  </authors>
  <commentList>
    <comment ref="C1" authorId="0">
      <text>
        <r>
          <rPr>
            <sz val="9"/>
            <color indexed="81"/>
            <rFont val="Tahoma"/>
            <family val="2"/>
          </rPr>
          <t>If not specifically referenced, data are from Scott M. McLennan, Relationships between the trace element composition of sedimentary rocks and upper continental crust, Geochemistry, Geophysics, Geosystems, Volume 2, Issue 4, April 2001 referenced in Estimating Long-Run Geological Stocks of Metals , UNEP International Panel on Sustainable Resource Management, Working Group on Geological Stocks of Metals, 
Working Paper, April 6, 2011</t>
        </r>
      </text>
    </comment>
    <comment ref="D1" authorId="0">
      <text>
        <r>
          <rPr>
            <sz val="9"/>
            <color indexed="81"/>
            <rFont val="Tahoma"/>
            <family val="2"/>
          </rPr>
          <t>If nothing else is noted, all elements are valued eqivalent to copper inversed proportional to its abundance in earths upper crust and increased with a factor 1.6 representing a correction for Cu being more leachable than the average element in the Steen&amp;Borg study. The abundance in ppm by weight is divided by a factor 3638 to give the value in ELU.
3638 = 159*14.3*82.3/51.5, where 159 is the cost of producing a Cu concentrate from bedrock at 14.3 mg/kg and 82.3 % leaching efficiency. 51.5 is the average leaching efficiency for the elements tested.</t>
        </r>
      </text>
    </comment>
    <comment ref="D8" authorId="0">
      <text>
        <r>
          <rPr>
            <sz val="9"/>
            <color indexed="81"/>
            <rFont val="Tahoma"/>
            <family val="2"/>
          </rPr>
          <t>Ca is currently extracted in a sustainable way</t>
        </r>
      </text>
    </comment>
    <comment ref="D9" authorId="0">
      <text>
        <r>
          <rPr>
            <sz val="9"/>
            <color indexed="81"/>
            <rFont val="Tahoma"/>
            <family val="2"/>
          </rPr>
          <t xml:space="preserve">Adapted from Steen and Borg, Ecological Economics 42 (2002) 401 /413. The leaching fficiency for Cd is lower than for Cu.
</t>
        </r>
      </text>
    </comment>
    <comment ref="D11" authorId="0">
      <text>
        <r>
          <rPr>
            <sz val="9"/>
            <color indexed="81"/>
            <rFont val="Tahoma"/>
            <family val="2"/>
          </rPr>
          <t xml:space="preserve">Adapted from Steen and Borg, Ecological Economics 42 (2002) 401 /413. 
</t>
        </r>
      </text>
    </comment>
    <comment ref="D12" authorId="0">
      <text>
        <r>
          <rPr>
            <sz val="9"/>
            <color indexed="81"/>
            <rFont val="Tahoma"/>
            <family val="2"/>
          </rPr>
          <t xml:space="preserve">Adapted from Steen and Borg, Ecological Economics 42 (2002) 401 /413. 
</t>
        </r>
      </text>
    </comment>
    <comment ref="D14" authorId="0">
      <text>
        <r>
          <rPr>
            <sz val="9"/>
            <color indexed="81"/>
            <rFont val="Tahoma"/>
            <family val="2"/>
          </rPr>
          <t xml:space="preserve">Adapted from Steen and Borg, Ecological Economics 42 (2002) 401 /413. 
</t>
        </r>
      </text>
    </comment>
    <comment ref="C18" authorId="0">
      <text>
        <r>
          <rPr>
            <sz val="9"/>
            <color indexed="81"/>
            <rFont val="Tahoma"/>
            <family val="2"/>
          </rPr>
          <t xml:space="preserve">Data from v 2000d. 
</t>
        </r>
      </text>
    </comment>
    <comment ref="C26" authorId="0">
      <text>
        <r>
          <rPr>
            <sz val="9"/>
            <color indexed="81"/>
            <rFont val="Tahoma"/>
            <family val="2"/>
          </rPr>
          <t xml:space="preserve">Estimations on the Ir abundance varies with an order of magnitude in the literature. Most figures are referenced to other figures that are referenced etc. Here the concentration determined by Park et al (Geochimica et Cosmochimica Acta 93 (2012) 63–76) is used. Park et al give a detailed description of their procedure and compare it with other results.
</t>
        </r>
      </text>
    </comment>
    <comment ref="D28" authorId="0">
      <text>
        <r>
          <rPr>
            <sz val="9"/>
            <color indexed="81"/>
            <rFont val="Tahoma"/>
            <family val="2"/>
          </rPr>
          <t xml:space="preserve">Not used, Li is easier extracted from sea salt
</t>
        </r>
      </text>
    </comment>
    <comment ref="D30" authorId="0">
      <text>
        <r>
          <rPr>
            <sz val="9"/>
            <color indexed="81"/>
            <rFont val="Tahoma"/>
            <family val="2"/>
          </rPr>
          <t xml:space="preserve">Adapted from Steen and Borg, Ecological Economics 42 (2002) 401 /413. 
</t>
        </r>
      </text>
    </comment>
    <comment ref="H32" authorId="0">
      <text>
        <r>
          <rPr>
            <sz val="9"/>
            <color indexed="81"/>
            <rFont val="Tahoma"/>
            <family val="2"/>
          </rPr>
          <t xml:space="preserve">From Steen and Borg
Ecological Economics 42 (2002) 401 /413
</t>
        </r>
      </text>
    </comment>
    <comment ref="D34" authorId="0">
      <text>
        <r>
          <rPr>
            <sz val="9"/>
            <color indexed="81"/>
            <rFont val="Tahoma"/>
            <family val="2"/>
          </rPr>
          <t xml:space="preserve">Adapted from Steen and Borg, Ecological Economics 42 (2002) 401 /413. 
</t>
        </r>
      </text>
    </comment>
    <comment ref="C35" authorId="0">
      <text>
        <r>
          <rPr>
            <sz val="9"/>
            <color indexed="81"/>
            <rFont val="Tahoma"/>
            <family val="2"/>
          </rPr>
          <t xml:space="preserve"> Wedepohl, Hans K (1995). "The composition of the continental crust". Geochimica et Cosmochimica Acta 59 (7): 1217–1232
</t>
        </r>
      </text>
    </comment>
    <comment ref="D37" authorId="0">
      <text>
        <r>
          <rPr>
            <sz val="9"/>
            <color indexed="81"/>
            <rFont val="Tahoma"/>
            <family val="2"/>
          </rPr>
          <t xml:space="preserve">Adapted from Steen and Borg, Ecological Economics 42 (2002) 401 /413. 
</t>
        </r>
      </text>
    </comment>
    <comment ref="C38" authorId="0">
      <text>
        <r>
          <rPr>
            <sz val="9"/>
            <color indexed="81"/>
            <rFont val="Tahoma"/>
            <family val="2"/>
          </rPr>
          <t xml:space="preserve">Estimations on the Pd abundance varies with an order of magnitude in the literature. Most figures are referenced to other figures that are referenced etc. Here the concentration determined by Park et al (Geochimica et Cosmochimica Acta 93 (2012) 63–76) is used. Park et al give a detailed description of their procedure and compare it with other results.
</t>
        </r>
      </text>
    </comment>
    <comment ref="C40" authorId="0">
      <text>
        <r>
          <rPr>
            <sz val="9"/>
            <color indexed="81"/>
            <rFont val="Tahoma"/>
            <family val="2"/>
          </rPr>
          <t xml:space="preserve">Estimations on the Pt abundance varies with several orders of magnitude in the literature. Most figures are not primary data, but referenced to other sources that are in turn referenced etc. Here the concentrations determined by Park et al in loess soil, which is a mixture of several minerals (Geochimica et Cosmochimica Acta 93 (2012) 63–76) is used. Park et al give a detailed description of their procedure and compare it with other results.
</t>
        </r>
      </text>
    </comment>
    <comment ref="C41" authorId="0">
      <text>
        <r>
          <rPr>
            <sz val="9"/>
            <color indexed="81"/>
            <rFont val="Tahoma"/>
            <family val="2"/>
          </rPr>
          <t xml:space="preserve"> Wedepohl, Hans K (1995). "The composition of the continental crust". Geochimica et Cosmochimica Acta 59 (7): 1217–1232
</t>
        </r>
      </text>
    </comment>
    <comment ref="C43" authorId="0">
      <text>
        <r>
          <rPr>
            <sz val="9"/>
            <color indexed="81"/>
            <rFont val="Tahoma"/>
            <family val="2"/>
          </rPr>
          <t xml:space="preserve">Estimations on the Rh abundance varies with an order of magnitude in the literature. Most figures are referenced to other figures that are referenced etc. Here the concentration determined by Park et al (Geochimica et Cosmochimica Acta 93 (2012) 63–76) is used. Park et al give a detailed description of their procedure and compare it with other results.
</t>
        </r>
      </text>
    </comment>
    <comment ref="C44" authorId="0">
      <text>
        <r>
          <rPr>
            <sz val="9"/>
            <color indexed="81"/>
            <rFont val="Tahoma"/>
            <family val="2"/>
          </rPr>
          <t>Estimations on the Ru abundance varies with an order of magnitude in the literature. Most figures are referenced to other figures that are referenced etc. Here the concentration determined by Park et al (Geochimica et Cosmochimica Acta 93 (2012) 63–76) is used. Park et al give a detailed description of their procedure and compare it with other results.</t>
        </r>
      </text>
    </comment>
    <comment ref="C53" authorId="0">
      <text>
        <r>
          <rPr>
            <sz val="9"/>
            <color indexed="81"/>
            <rFont val="Tahoma"/>
            <family val="2"/>
          </rPr>
          <t xml:space="preserve">Ayres, Robert U.; Ayres, Leslie (2002). A handbook of industrial ecology. Edward Elgar Publishing. p. 396.
</t>
        </r>
      </text>
    </comment>
    <comment ref="D59" authorId="0">
      <text>
        <r>
          <rPr>
            <sz val="9"/>
            <color indexed="81"/>
            <rFont val="Tahoma"/>
            <family val="2"/>
          </rPr>
          <t xml:space="preserve">Adapted from Steen and Borg, Ecological Economics 42 (2002) 401 /413. 
</t>
        </r>
      </text>
    </comment>
    <comment ref="D63" authorId="0">
      <text>
        <r>
          <rPr>
            <sz val="9"/>
            <color indexed="81"/>
            <rFont val="Tahoma"/>
            <family val="2"/>
          </rPr>
          <t xml:space="preserve">Adapted from Steen and Borg, Ecological Economics 42 (2002) 401 /413. 
</t>
        </r>
      </text>
    </comment>
    <comment ref="D66" authorId="0">
      <text>
        <r>
          <rPr>
            <sz val="9"/>
            <color indexed="81"/>
            <rFont val="Tahoma"/>
            <family val="2"/>
          </rPr>
          <t xml:space="preserve">If extracted from sea salt, Li salt concentrates may be produced at a reasonable cost. LiCl and LiSO4 is more soluble than the Na and K salts and will be concentrated in the brines of evaporating seawater. In present extraction technology when the minerals mentioned above are used, Li is separated from Na and K via its carbonates where Li2CO3 has a comparatively low solubility at 100 oC. The overall cost of extracting Li from seawater will depend on how much sea salt that is produced. If Li can be concentrated as a by-product to similar levels as the minerals, which are used today, the cost should be in the order of 0.1 EUR/kg representing a relatively simple process technology and moderate energy consumption. The resource value is thus assumed to be 0.1 ELU/kg as a best estimate with an uncertainty of a factor of 10. The uncertainty lies mainly in the uncertainty of the volumes of Li needed. If large volumes are needed, another technology must be used.
</t>
        </r>
      </text>
    </comment>
    <comment ref="D67" authorId="0">
      <text>
        <r>
          <rPr>
            <sz val="9"/>
            <color indexed="81"/>
            <rFont val="Tahoma"/>
            <family val="2"/>
          </rPr>
          <t xml:space="preserve">Borates are mined today from deposits originating from evaporated inland seas. This means that it is likely that it can be obtained from evaporating sea water at certain salt concentrations. The exact procedure is not identified, but its complexity and cost is assumed to be somewhere between that of Li and K.
</t>
        </r>
      </text>
    </comment>
    <comment ref="D68" authorId="0">
      <text>
        <r>
          <rPr>
            <sz val="9"/>
            <color indexed="81"/>
            <rFont val="Tahoma"/>
            <family val="2"/>
          </rPr>
          <t>Part of the Br is today extracted from seawater, why its resource value is estimated to 0 ELU/kg.</t>
        </r>
      </text>
    </comment>
    <comment ref="D69" authorId="0">
      <text>
        <r>
          <rPr>
            <sz val="9"/>
            <color indexed="81"/>
            <rFont val="Tahoma"/>
            <family val="2"/>
          </rPr>
          <t xml:space="preserve">Current resource, water is considered sustainable
</t>
        </r>
      </text>
    </comment>
    <comment ref="D70" authorId="0">
      <text>
        <r>
          <rPr>
            <sz val="9"/>
            <color indexed="81"/>
            <rFont val="Tahoma"/>
            <family val="2"/>
          </rPr>
          <t xml:space="preserve">Current resources like sea water is considered sustainable
</t>
        </r>
      </text>
    </comment>
    <comment ref="D71" authorId="0">
      <text>
        <r>
          <rPr>
            <sz val="9"/>
            <color indexed="81"/>
            <rFont val="Tahoma"/>
            <family val="2"/>
          </rPr>
          <t xml:space="preserve">Estimated to be equal to the cost for concentration of K in sea salt brines to the same level as is present in K-rich rock salt, which is the main source of K today. This is a rather simple process, carried out in connection with the initial evaporation of seawater. KCl is somewhat less soluble in water (276 g/l) than NaCl (357 g/l). The first precipitates of salt in a batch of seawater, which is evaporated, is thus likely to be enriched in K. The estimated to cost for concentrating K is in the order of 10 EUR/ton K why the resource value of K-rich rock salt is 0.01 ELU/kg K.
</t>
        </r>
      </text>
    </comment>
    <comment ref="D72" authorId="0">
      <text>
        <r>
          <rPr>
            <sz val="9"/>
            <color indexed="81"/>
            <rFont val="Tahoma"/>
            <family val="2"/>
          </rPr>
          <t xml:space="preserve">Mg is today produced from sea water
</t>
        </r>
      </text>
    </comment>
    <comment ref="D73" authorId="0">
      <text>
        <r>
          <rPr>
            <sz val="9"/>
            <color indexed="81"/>
            <rFont val="Tahoma"/>
            <family val="2"/>
          </rPr>
          <t>Sulphur is today mined in elementary form or extracted from fossil fuel. If extracted from seawater, sulphates may be produced at low costs, probably in the same range as K, i.e. corresponding to a resource value of 0.01 ELU/kg. To produce elementary sulphur one would have to reduce the sulphates, for instance with carbon. Theoretically there is at least a need for as much carbon mass as sulphur mass in this reaction. Having a resource value of coal of 0.05 ELU/kg we would get a resource value of elementary S in the order of 0.1 ELU/kg.</t>
        </r>
      </text>
    </comment>
    <comment ref="D74" authorId="0">
      <text>
        <r>
          <rPr>
            <sz val="9"/>
            <color indexed="81"/>
            <rFont val="Tahoma"/>
            <family val="2"/>
          </rPr>
          <t xml:space="preserve">Iodine is currently extracted from seawater via kelp.
</t>
        </r>
      </text>
    </comment>
    <comment ref="D75" authorId="0">
      <text>
        <r>
          <rPr>
            <sz val="9"/>
            <color indexed="81"/>
            <rFont val="Tahoma"/>
            <family val="2"/>
          </rPr>
          <t xml:space="preserve">Current resources like sea water is considered sustainable
</t>
        </r>
      </text>
    </comment>
    <comment ref="D77" authorId="0">
      <text>
        <r>
          <rPr>
            <sz val="9"/>
            <color indexed="81"/>
            <rFont val="Tahoma"/>
            <family val="2"/>
          </rPr>
          <t xml:space="preserve">Currently produced from air, which is considered a sustainable resource
</t>
        </r>
      </text>
    </comment>
    <comment ref="D78" authorId="0">
      <text>
        <r>
          <rPr>
            <sz val="9"/>
            <color indexed="81"/>
            <rFont val="Tahoma"/>
            <family val="2"/>
          </rPr>
          <t xml:space="preserve">Currently produced from air, which is considered a sustainable resource
</t>
        </r>
      </text>
    </comment>
    <comment ref="D79" authorId="0">
      <text>
        <r>
          <rPr>
            <sz val="9"/>
            <color indexed="81"/>
            <rFont val="Tahoma"/>
            <family val="2"/>
          </rPr>
          <t xml:space="preserve">Currently produced from air, which is considered a sustainable resource
</t>
        </r>
      </text>
    </comment>
    <comment ref="D80" authorId="0">
      <text>
        <r>
          <rPr>
            <sz val="9"/>
            <color indexed="81"/>
            <rFont val="Tahoma"/>
            <family val="2"/>
          </rPr>
          <t xml:space="preserve">Currently produced from air, which is considered a sustainable resource
</t>
        </r>
      </text>
    </comment>
    <comment ref="D81" authorId="0">
      <text>
        <r>
          <rPr>
            <sz val="9"/>
            <color indexed="81"/>
            <rFont val="Tahoma"/>
            <family val="2"/>
          </rPr>
          <t xml:space="preserve">Currently produced from air, which is considered a sustainable resource
</t>
        </r>
      </text>
    </comment>
  </commentList>
</comments>
</file>

<file path=xl/comments6.xml><?xml version="1.0" encoding="utf-8"?>
<comments xmlns="http://schemas.openxmlformats.org/spreadsheetml/2006/main">
  <authors>
    <author>Bengt Steen</author>
  </authors>
  <commentList>
    <comment ref="F1" authorId="0">
      <text>
        <r>
          <rPr>
            <sz val="9"/>
            <color indexed="81"/>
            <rFont val="Tahoma"/>
            <family val="2"/>
          </rPr>
          <t>If not specifically noted, the uncertaitny is expressed as a factor equal ti one standard deviation in a log normal distribution</t>
        </r>
      </text>
    </comment>
    <comment ref="H1" authorId="0">
      <text>
        <r>
          <rPr>
            <sz val="9"/>
            <color indexed="81"/>
            <rFont val="Tahoma"/>
            <family val="2"/>
          </rPr>
          <t>If not specifically noted, the uncertaitny is expressed as a factor equal to one standard deviation in a log normal distribution</t>
        </r>
      </text>
    </comment>
    <comment ref="E3" authorId="0">
      <text>
        <r>
          <rPr>
            <sz val="9"/>
            <color indexed="81"/>
            <rFont val="Tahoma"/>
            <family val="2"/>
          </rPr>
          <t>UN global environmental statistics from GEMSTAT
http://www.gemstat.org/queryrgn.aspx, accessed October 18 2014, show that Dissolved Oxygen (DO) levels are less than 9.5 mg/l, (which cause reduced production capacity in lakes with an average temperature below 20 oC) in 62% of the monitoring sites and less than 6 mg/l (which cause reduced production capacity in lakes with an average temperature above 20 oC) in 12% of the monitoring sites. 63% of the lakes have temperatures below 20 degrees C and the rest 37% lies above 20 degrees C. This allows an approximate estimate of the share of lakes with oxygen deficiency to 0,12*0,37+0,63*0,12+0,63*0,45 = 0.40 or 40% of the lakes. The growth rate of fish is assumed to be directly proportional to DO at these levels. The DO levels below 9.5 and 6 is as an average 7.5 mg/l indicating a decreased fish growth rate of 2/9.5 = 0.21 for the &lt;20 degree lakes covering 36% of the area  (0.63*0.12+0.63*0.45) and below 5 in &gt;20 degrees lakes indicating a decreased fish growth of 1/6 or 16.7% in 4.4% (0.37*0.12) of the lake areas. The total global freshwater area is 5988250 km2 (http://en.worldstat.info/World/List_of_countries_by_Water_surface_%28percentage_of_total_area%29). The average fish growth capacity is assumed to be 1000 kg/km2, year. This means a total loss of production capacity of (0.21*0.36+0.167*0.044)*1000*5988250 kg/year = 4.97E8 kg/year.</t>
        </r>
      </text>
    </comment>
    <comment ref="F3" authorId="0">
      <text>
        <r>
          <rPr>
            <sz val="9"/>
            <color indexed="81"/>
            <rFont val="Tahoma"/>
            <family val="2"/>
          </rPr>
          <t>The model builds on several assumptions: 1) Extrapolation of DO levels to waters not monitored, 2) independency between temperature and DO levels, 3) a linear relation between DO deficiency and decreased growth rate and 4) average production capacity of 1000 kg/km2 (which is relevant for temperate regions). Therfore a standard deviation of a factor of 2 is estimated.</t>
        </r>
      </text>
    </comment>
    <comment ref="G3" authorId="0">
      <text>
        <r>
          <rPr>
            <sz val="9"/>
            <color indexed="81"/>
            <rFont val="Tahoma"/>
            <family val="2"/>
          </rPr>
          <t>Total global BOD emission to freshwater estimated from country specific Worldbank data for 2004-2007 is estimated to 1.6E10 kg. This estimation is based on an assumption that per capita emissions from the countries not covered by Worldbank statistics (46% of the population) are the same as those covered. Oxygen deficiency in freshwater is also caused by P emissions. Global Ptot emissions to freshwater is estimated to 3.8E10 kg/yr. (Yi Liu, Gara Villalba, Robert U. Ayres, and Hans Schroder, Global Phosphorus Flows and Environmental Impacts from a Consumption Perspective, Journal of Industrial Ecology, Volume 12, Number 2, p 229-247)
Assuming a Redfield ratio in fish productivity, 1 kg of P will correspond to 0,0072 kg BOD in terms of DO depletion. Therefore the contribution from BOD to DO depletion in freshwaters are 0.0072/(1.6E10*0.0072+3.8E10) = 1.89E-13</t>
        </r>
      </text>
    </comment>
    <comment ref="H3" authorId="0">
      <text>
        <r>
          <rPr>
            <sz val="9"/>
            <color indexed="81"/>
            <rFont val="Tahoma"/>
            <family val="2"/>
          </rPr>
          <t xml:space="preserve">Global emission data for BOD are probably only covering a part of the emissions, the Redfield model is critizised for being too simple (Kevin J. Flynn, Ecological modelling in a sea of variable stoichiometry: Dysfunctionality and the legacy of Redfield and Monod, Progress in Oceanography 84 (2010) 52–65) and fate models on Ptot indicate more than an order of magnitude difference beween low and high impact (Roel J. K. Helmes, Mark A. J. Huijbregts, Andrew D. Henderson and Olivier Jolliet, Spatially explicit fate factors of phosphorous emissions to freshwater at the global scale, The International Journal of Life Cycle Assessment, 2012 ). An uncertainty of a factor of 4 is therfore assumed. 
</t>
        </r>
      </text>
    </comment>
    <comment ref="E4" authorId="0">
      <text>
        <r>
          <rPr>
            <sz val="9"/>
            <color indexed="81"/>
            <rFont val="Tahoma"/>
            <family val="2"/>
          </rPr>
          <t xml:space="preserve">IUCN redlist http://www.iucnredlist.org/search, accessed at 15 October 2014
</t>
        </r>
      </text>
    </comment>
    <comment ref="F4" authorId="0">
      <text>
        <r>
          <rPr>
            <sz val="9"/>
            <color indexed="81"/>
            <rFont val="Tahoma"/>
            <family val="2"/>
          </rPr>
          <t>It is unclear how well the data reported to IUCN cover the real situation. 
An uncertainty of a factor of 3 is assumed.</t>
        </r>
      </text>
    </comment>
    <comment ref="G4" authorId="0">
      <text>
        <r>
          <rPr>
            <sz val="9"/>
            <color indexed="81"/>
            <rFont val="Tahoma"/>
            <family val="2"/>
          </rPr>
          <t>Total global BOD emission to freshwater estimated from country specific Worldbank data for 2004-2007 representing 54% of the global population is estimated to 1.6E10 kg. This estimation is based on an assumption that per capita emissions from the countries not covered by Worldbank statistics are the same as those covered. Oxygen deficiency in freshwater is also caused by P emissions. Global Ptot emissions to freshwater is estimated to 3.8E10 kg/yr. (Yi Liu, Gara Villalba, Robert U. Ayres, and Hans Schroder, Global Phosphorus Flows and Environmental Impacts from a Consumption Perspective, Journal of Industrial Ecology, Volume 12, Number 2, p 229-247)
Assuming a Redfield ratio, 1 kg of P will correspond to 0,0072 kg BOD in terms of DO depletion. Thereefore the contribution from BOD to DO depletion in freshwaters are 0.0072/(1.6E10*0.0072+3.8E10) = 1.89E-13</t>
        </r>
      </text>
    </comment>
    <comment ref="H4" authorId="0">
      <text>
        <r>
          <rPr>
            <sz val="9"/>
            <color indexed="81"/>
            <rFont val="Tahoma"/>
            <family val="2"/>
          </rPr>
          <t xml:space="preserve">Global emission data for BOD are probably only covering a part of the emissions, the Redfield model is critizised for being too simple (Kevin J. Flynn, Ecological modelling in a sea of variable stoichiometry: Dysfunctionality and the legacy of Redfield and Monod, Progress in Oceanography 84 (2010) 52–65) and fate models on Ptot indicate more than an order of magnitude difference beween low and high impact (Roel J. K. Helmes, Mark A. J. Huijbregts, Andrew D. Henderson and Olivier Jolliet, Spatially explicit fate factors of phosphorous emissions to freshwater at the global scale, The International Journal of Life Cycle Assessment, 2012 ).  An uncertainty of a factor of 4 is therfore assumed. 
</t>
        </r>
      </text>
    </comment>
    <comment ref="G7" authorId="0">
      <text>
        <r>
          <rPr>
            <sz val="9"/>
            <color indexed="81"/>
            <rFont val="Tahoma"/>
            <family val="2"/>
          </rPr>
          <t xml:space="preserve">Most emissions are directly to freshwater and later to seawater. A transfer efficiency of 50% is assumed.
</t>
        </r>
      </text>
    </comment>
    <comment ref="H7" authorId="0">
      <text>
        <r>
          <rPr>
            <sz val="9"/>
            <color indexed="81"/>
            <rFont val="Tahoma"/>
            <family val="2"/>
          </rPr>
          <t xml:space="preserve">Global emission data for BOD are probably only covering a part of the emissions, the Redfield model is critizised for being too simple (Kevin J. Flynn, Ecological modelling in a sea of variable stoichiometry: Dysfunctionality and the legacy of Redfield and Monod, Progress in Oceanography 84 (2010) 52–65) and fate models on Ptot indicate more than an order of magnitude difference beween low and high impact (Roel J. K. Helmes, Mark A. J. Huijbregts, Andrew D. Henderson and Olivier Jolliet, Spatially explicit fate factors of phosphorous emissions to freshwater at the global scale, The International Journal of Life Cycle Assessment, 2012 ). Besides, some of the emissions to freshwater will not reach seawater and contribute to the impact there. An uncertainty of a factor of 5 is therfore assumed. 
</t>
        </r>
      </text>
    </comment>
    <comment ref="E8" authorId="0">
      <text>
        <r>
          <rPr>
            <sz val="9"/>
            <color indexed="81"/>
            <rFont val="Tahoma"/>
            <family val="2"/>
          </rPr>
          <t xml:space="preserve">IUCN redlist http://www.iucnredlist.org/search, accessed at 15 October 2014 estimates that 0.007 of all redlisted aspecies are threatened in aquatic environments from effluents from agriculture and forestry. Most of these are assumed to be in freshwater environments and less than a tenth in sewater environments.
</t>
        </r>
      </text>
    </comment>
    <comment ref="F8" authorId="0">
      <text>
        <r>
          <rPr>
            <sz val="9"/>
            <color indexed="81"/>
            <rFont val="Tahoma"/>
            <family val="2"/>
          </rPr>
          <t>It is unclear how well the data reported to IUCN cover the real situation. 
An uncertainty of a factor of 3 is assumed.</t>
        </r>
      </text>
    </comment>
    <comment ref="G8" authorId="0">
      <text>
        <r>
          <rPr>
            <sz val="9"/>
            <color indexed="81"/>
            <rFont val="Tahoma"/>
            <family val="2"/>
          </rPr>
          <t xml:space="preserve">Most emissions are directly to freshwater and later to seawater
</t>
        </r>
      </text>
    </comment>
    <comment ref="H8" authorId="0">
      <text>
        <r>
          <rPr>
            <sz val="9"/>
            <color indexed="81"/>
            <rFont val="Tahoma"/>
            <family val="2"/>
          </rPr>
          <t xml:space="preserve">Global emission data for BOD are probably only covering a part of the emissions, the Redfield model is critizised for being too simple (Kevin J. Flynn, Ecological modelling in a sea of variable stoichiometry: Dysfunctionality and the legacy of Redfield and Monod, Progress in Oceanography 84 (2010) 52–65) and fate models on Ptot indicate more than an order of magnitude difference beween low and high impact (Roel J. K. Helmes, Mark A. J. Huijbregts, Andrew D. Henderson and Olivier Jolliet, Spatially explicit fate factors of phosphorous emissions to freshwater at the global scale, The International Journal of Life Cycle Assessment, 2012 ). Besides, some of the emissions to freshwater will not reach seawater and contribute to the impact there. An uncertainty of a factor of 5 is therfore assumed. 
</t>
        </r>
      </text>
    </comment>
    <comment ref="G11" authorId="0">
      <text>
        <r>
          <rPr>
            <sz val="9"/>
            <color indexed="81"/>
            <rFont val="Tahoma"/>
            <family val="2"/>
          </rPr>
          <t>The model is similar to that for BOD to freshwater but adjusted by the average ratio between BOD and COD in freshwater. BOD is seen as the active parameter, and COD as a indicator for BOD.The global average concentration of BOD in feshwater is 3.46 mg/l and 26.14 mg/l for COD. (http://www.gemstat.org/queryrgn.aspx), accessed at Oct 2014. Therefore the estimated contribution of a kg of COD emitted is 3.46/26.14 less than 1 kg of emitted BOD.</t>
        </r>
      </text>
    </comment>
    <comment ref="G12" authorId="0">
      <text>
        <r>
          <rPr>
            <sz val="9"/>
            <color indexed="81"/>
            <rFont val="Tahoma"/>
            <family val="2"/>
          </rPr>
          <t>The model is similar to that for BOD to freshwater but adjusted by the average ratio between BOD and COD in freshwater. BOD is seen as the active parameter, and COD as a indicator for BOD.The global average concentration of BOD in feshwater is 3.46 mg/l and 26.14 mg/l for COD. (http://www.gemstat.org/queryrgn.aspx), accessed at Oct 2014. Therefore the estimated contribution of a kg of COD emitted is 3.46/26.14 less than 1 kg of emitted BOD.</t>
        </r>
      </text>
    </comment>
    <comment ref="G15" authorId="0">
      <text>
        <r>
          <rPr>
            <sz val="9"/>
            <color indexed="81"/>
            <rFont val="Tahoma"/>
            <family val="2"/>
          </rPr>
          <t>The model is similar to that for BOD to seawater but adjusted by the average ratio between BOD and COD in freshwater (supplied into seawater via rivers). BOD is seen as the active parameter, and COD as a indicator for BOD.The global average concentration of BOD in feshwater is 3.46 mg/l and 26.14 mg/l for COD. (http://www.gemstat.org/queryrgn.aspx), accessed at Oct 2014. Therefore the estimated contribution of a kg of COD emitted is 3.46/26.14 less than 1 kg of emitted BOD.</t>
        </r>
      </text>
    </comment>
    <comment ref="G16" authorId="0">
      <text>
        <r>
          <rPr>
            <sz val="9"/>
            <color indexed="81"/>
            <rFont val="Tahoma"/>
            <family val="2"/>
          </rPr>
          <t>The model is similar to that for BOD to seawater but adjusted by the average ratio between BOD and COD in freshwater (supplied into seawater via rivers). BOD is seen as the active parameter, and COD as a indicator for BOD.The global average concentration of BOD in feshwater is 3.46 mg/l and 26.14 mg/l for COD. (http://www.gemstat.org/queryrgn.aspx), accessed at Oct 2014. Therefore the estimated contribution of a kg of COD emitted is 3.46/26.14 less than 1 kg of emitted BOD.</t>
        </r>
      </text>
    </comment>
    <comment ref="E19" authorId="0">
      <text>
        <r>
          <rPr>
            <sz val="9"/>
            <color indexed="81"/>
            <rFont val="Tahoma"/>
            <family val="2"/>
          </rPr>
          <t xml:space="preserve">As P is rate limiiting Ntot's impact on fish productivity in freshwater is neglected, but impacts to  seawater is included. 
</t>
        </r>
      </text>
    </comment>
    <comment ref="G19" authorId="0">
      <text>
        <r>
          <rPr>
            <sz val="9"/>
            <color indexed="81"/>
            <rFont val="Tahoma"/>
            <family val="2"/>
          </rPr>
          <t>Galloway et al (Biogeochemistry 70: 153–226, 2004) estimates the input to rivers in the 1990ies of Nr (Ntot) to 118.1 Tg/yr and the riverine flux to oceans to 47.8 Tg/yr. This giives an averqage transfer efficiency of 40%. Galloway estimated the total input to rivers 1860 to 69.8 Tg/yr. If assuming that the total input to rivers 1990 compared to 1860 represents the antropogenic contribution, we get a total antropogenic emission to freshwater equal to 48.3 Tg/yr. BOD emissions are estimated to 0.83 Tg/yr N-eq. I kg of N emitted to freshwater is thus contributing to 0.4/(48.3E9+0.83E9) = 8.14E-12 to the decrease in fish productivity.</t>
        </r>
      </text>
    </comment>
    <comment ref="H19" authorId="0">
      <text>
        <r>
          <rPr>
            <sz val="9"/>
            <color indexed="81"/>
            <rFont val="Tahoma"/>
            <family val="2"/>
          </rPr>
          <t xml:space="preserve">The transfer efficiency is likely to vary substatially (orders of magnitude) depending on how close the emissios are to seawater and how close it is to areas with oxygen depletion. </t>
        </r>
      </text>
    </comment>
    <comment ref="H20" authorId="0">
      <text>
        <r>
          <rPr>
            <sz val="9"/>
            <color indexed="81"/>
            <rFont val="Tahoma"/>
            <family val="2"/>
          </rPr>
          <t xml:space="preserve">The transfer efficiency is likely to vary substatially (orders of magnitude) depending on how close the emissios are to seawater. </t>
        </r>
      </text>
    </comment>
    <comment ref="H21" authorId="0">
      <text>
        <r>
          <rPr>
            <sz val="9"/>
            <color indexed="81"/>
            <rFont val="Tahoma"/>
            <family val="2"/>
          </rPr>
          <t xml:space="preserve">The transfer efficiency is likely to vary substatially (orders of magnitude) depending on how close the emissios are to seawater and how close it is to areas with oxygen depletion. </t>
        </r>
      </text>
    </comment>
    <comment ref="G24" authorId="0">
      <text>
        <r>
          <rPr>
            <sz val="9"/>
            <color indexed="81"/>
            <rFont val="Tahoma"/>
            <family val="2"/>
          </rPr>
          <t>Galloway et al (Biogeochemistry 70: 153–226, 2004) estimates  the riverine flux to oceans to 47.8 Tg/yr.  . BOD emissions are estimated to 0.83 Tg/yr N-eq. 1 kg of N emitted to freshwater is thus contributing to 1/(48.3E9+0.83E9) = 2.4E-11 to the decrease in fish productivity.</t>
        </r>
      </text>
    </comment>
    <comment ref="H24" authorId="0">
      <text>
        <r>
          <rPr>
            <sz val="9"/>
            <color indexed="81"/>
            <rFont val="Tahoma"/>
            <family val="2"/>
          </rPr>
          <t xml:space="preserve">The differences in contribution is in the order of magnitudes, depending on whether the emissions occur in coastal areas with oxygen deficient zones or not
</t>
        </r>
      </text>
    </comment>
    <comment ref="H25" authorId="0">
      <text>
        <r>
          <rPr>
            <sz val="9"/>
            <color indexed="81"/>
            <rFont val="Tahoma"/>
            <family val="2"/>
          </rPr>
          <t xml:space="preserve">The contribution is likely to vary depending on   local currents and other growth rate factors.
</t>
        </r>
      </text>
    </comment>
    <comment ref="H26" authorId="0">
      <text>
        <r>
          <rPr>
            <sz val="9"/>
            <color indexed="81"/>
            <rFont val="Tahoma"/>
            <family val="2"/>
          </rPr>
          <t xml:space="preserve">The differences in contribution is in the order of magnitudes, depending on whether the emissions occur in coastal areas with oxygen deficient zones or not
</t>
        </r>
      </text>
    </comment>
    <comment ref="G29" authorId="0">
      <text>
        <r>
          <rPr>
            <sz val="9"/>
            <color indexed="81"/>
            <rFont val="Tahoma"/>
            <family val="2"/>
          </rPr>
          <t xml:space="preserve"> Global Ptot emissions to freshwater is estimated to 3.8E10 kg/yr. (Yi Liu, Gara Villalba, Robert U. Ayres, and Hans Schroder, Global Phosphorus Flows and Environmental Impacts from a Consumption Perspective, Journal of Industrial Ecology, Volume 12, Number 2, p 229-247)
Oxygen deficiency in freshwater is also caused by BOD emissions.Total global BOD emission to freshwater estimated from country specific Worldbank data for 2004-2007 is estimated to 1.6E10 kg. This estimation is based on an assumption that per capita emissions from the countries not covered by Worldbank statistics (46% of the population) are the same as those covered. 
Assuming a Redfield ratio in fish productivity, 1 kg of P will correspond to 0,0072 kg BOD in terms of DO depletion. Therefore the contribution from P to DO depletion in freshwaters are 1/(1.6E10*0.0072+3.8E10) = 2.62E-11
</t>
        </r>
      </text>
    </comment>
    <comment ref="H29" authorId="0">
      <text>
        <r>
          <rPr>
            <sz val="9"/>
            <color indexed="81"/>
            <rFont val="Tahoma"/>
            <family val="2"/>
          </rPr>
          <t xml:space="preserve">The contribution to impacts depend highly on local conditions. About half of the  </t>
        </r>
      </text>
    </comment>
    <comment ref="G30" authorId="0">
      <text>
        <r>
          <rPr>
            <sz val="9"/>
            <color indexed="81"/>
            <rFont val="Tahoma"/>
            <family val="2"/>
          </rPr>
          <t xml:space="preserve"> Global Ptot emissions to freshwater is estimated to 3.8E10 kg/yr. (Yi Liu, Gara Villalba, Robert U. Ayres, and Hans Schroder, Global Phosphorus Flows and Environmental Impacts from a Consumption Perspective, Journal of Industrial Ecology, Volume 12, Number 2, p 229-247)
Oxygen deficiency in freshwater is also caused by BOD emissions.Total global BOD emission to freshwater estimated from country specific Worldbank data for 2004-2007 is estimated to 1.6E10 kg. This estimation is based on an assumption that per capita emissions from the countries not covered by Worldbank statistics (46% of the population) are the same as those covered. 
Assuming a Redfield ratio in fish productivity, 1 kg of P will correspond to 0,0072 kg BOD in terms of DO depletion. Therefore the contribution from P to DO depletion in freshwaters are 1/(1.6E10*0.0072+3.8E10) = 2.62E-11
</t>
        </r>
      </text>
    </comment>
    <comment ref="H30" authorId="0">
      <text>
        <r>
          <rPr>
            <sz val="9"/>
            <color indexed="81"/>
            <rFont val="Tahoma"/>
            <family val="2"/>
          </rPr>
          <t xml:space="preserve">The transfer efficiency is likely to vary substatially (orders of magnitude) depending on how close the emissios are to seawater and how close it is to areas with oxygen depletion. </t>
        </r>
      </text>
    </comment>
    <comment ref="E33" authorId="0">
      <text>
        <r>
          <rPr>
            <sz val="9"/>
            <color indexed="81"/>
            <rFont val="Tahoma"/>
            <family val="2"/>
          </rPr>
          <t xml:space="preserve">P is rarely rate limiting in seawater, why the impact is approximately zero
</t>
        </r>
      </text>
    </comment>
    <comment ref="G33" authorId="0">
      <text>
        <r>
          <rPr>
            <sz val="9"/>
            <color indexed="81"/>
            <rFont val="Tahoma"/>
            <family val="2"/>
          </rPr>
          <t xml:space="preserve">P is rarely rate limiting in seawater, why the impact is approximately zero
</t>
        </r>
      </text>
    </comment>
    <comment ref="E34" authorId="0">
      <text>
        <r>
          <rPr>
            <sz val="9"/>
            <color indexed="81"/>
            <rFont val="Tahoma"/>
            <family val="2"/>
          </rPr>
          <t xml:space="preserve">P is rarely rate limiting in seawater, why the impact is approximately zero
</t>
        </r>
      </text>
    </comment>
    <comment ref="G34" authorId="0">
      <text>
        <r>
          <rPr>
            <sz val="9"/>
            <color indexed="81"/>
            <rFont val="Tahoma"/>
            <family val="2"/>
          </rPr>
          <t xml:space="preserve">P is rarely rate limiting in seawater, why the impact is approximately zero
</t>
        </r>
      </text>
    </comment>
    <comment ref="E37" authorId="0">
      <text>
        <r>
          <rPr>
            <sz val="9"/>
            <color indexed="81"/>
            <rFont val="Tahoma"/>
            <family val="2"/>
          </rPr>
          <t>The global yearly run off of water is 24000 km3 
Gerten et al Journal of Hydrology 286 (2004) 249–270. Each person drinks about 2 l/day as an average. The total intake of water from the global population is thus 5,256 km3/year. Of 1 kg of emitted metal, 219 μg will enter humans through drinking water. This corresponds to a lifetime dose of 219/(365*70) = 0.00857 μg/day.
The risk for bladder cancer is increased by 0,01%/μg/day (EU project ESPREME) and the global average incidence is 1.7E-4 Global average Lancet 2012; 380: 2095–128. Thus there is an absolute risk of 3.22E-7 per ug/day lifetime exposure. 
The marginal  reduction of life expectancy is estimated to 3.7 years based on WHO estimates of global YOLL/years for different age groups and an average life expectancy of 70 years. 
The average mortality in bladder cancer is about 50%.
Thus the average YOLL/kg As is 0.00857*3.22E-7*3.7*0.5 =2.9E-9 YOLL/kg</t>
        </r>
      </text>
    </comment>
    <comment ref="F37" authorId="0">
      <text>
        <r>
          <rPr>
            <sz val="9"/>
            <color indexed="81"/>
            <rFont val="Tahoma"/>
            <family val="2"/>
          </rPr>
          <t>The main uncertainty lies in the estimation of exposure levels, as the model is very simplistic and only covers one pathway. There is also an uncertainty in dose-respons
rates.</t>
        </r>
      </text>
    </comment>
    <comment ref="E38" authorId="0">
      <text>
        <r>
          <rPr>
            <sz val="9"/>
            <color indexed="81"/>
            <rFont val="Tahoma"/>
            <family val="2"/>
          </rPr>
          <t>The global yearly run off of water is 24000 km3 
Gerten et al Journal of Hydrology 286 (2004) 249–270. Each person drinks about 2 l/day as an average. The total intake of water from the global population is thus 5,256 km3/year. Of 1 kg of emitted metal, 219 μg will enter humans through drinking water. This corresponds to a lifetime dose of 219/(365*70) = 0.00857 μg/day.
There is a 0,025% risk/ug/day to die from CVD due to As exposure. (ESPREME, 2007, Exposure response functions for HM impacts on human health) The marginal  reduction of life expectancy is estimated to 5.0 years based on WHO estimates of global YOLL/years for different age groups and an average life expectancy of 70 years. 
Thus the average YOLL/kg As is 0.00025*0.00875*5 =1.09E-5 YOLL/kg As</t>
        </r>
      </text>
    </comment>
    <comment ref="F38" authorId="0">
      <text>
        <r>
          <rPr>
            <sz val="9"/>
            <color indexed="81"/>
            <rFont val="Tahoma"/>
            <family val="2"/>
          </rPr>
          <t xml:space="preserve">The main uncertainty lies in the estimation of exposure levels. There is also an uncertainty in dose-respons
rates.
</t>
        </r>
      </text>
    </comment>
    <comment ref="E39" authorId="0">
      <text>
        <r>
          <rPr>
            <sz val="9"/>
            <color indexed="81"/>
            <rFont val="Tahoma"/>
            <family val="2"/>
          </rPr>
          <t>The global yearly run off of water is 24000 km3 
Gerten et al Journal of Hydrology 286 (2004) 249–270. Each person drinks about 2 l/day as an average. The total intake of water from the global population is thus 5,256 km3/year. Of 1 kg of emitted metal, 219 μg will enter humans through drinking water. This corresponds to a lifetime dose of 219/(365*70) = 0.00857 μg/day.
The risk for skin cancer including malignent melanoma is increased by 0,002%/μg/day (EU project ESPREME) and the global average incidence is 0,00093  (49100 deaths out of total 52700000. Lancet 2012; 380: 2095–128). Thus there is an absolute risk of 1.86E-8 per ug/day lifetime exposure. 
The marginal  reduction of life expectancy from Melanoma and skin cancer is estimated to 7.4 years based on WHO estimates of global YOLL/years for different age groups and an average life expectancy of 70 years. 
 Mortality in skin cancer is low, about 12% for melanoma and 0,2% for SCC and BCC. If applying the ratio of predicted cancer incidences for melanoma vs SCC + BCC the US (HUMAN HEALTH BENEFITS OF STRATOSPHERIC OZONE PROTECTION, USEPA April 2006) which estimate the mealnoma incidence to 2.7% of all cases, the global mortality rate until 2100 will be 0.12*0.027+0.002*0.973=0.00518.
Thus the average YOLL/kg As is 0.00857*1.68E-8*7.4*0.00518 =2.9E-9 YOLL/kg</t>
        </r>
      </text>
    </comment>
    <comment ref="F39" authorId="0">
      <text>
        <r>
          <rPr>
            <sz val="9"/>
            <color indexed="81"/>
            <rFont val="Tahoma"/>
            <family val="2"/>
          </rPr>
          <t xml:space="preserve">The main uncertainty lies in the estimation of exposure levels. There is also an uncertainty in dose-respons
rates.
</t>
        </r>
      </text>
    </comment>
    <comment ref="E42" authorId="0">
      <text>
        <r>
          <rPr>
            <sz val="9"/>
            <color indexed="81"/>
            <rFont val="Tahoma"/>
            <family val="2"/>
          </rPr>
          <t xml:space="preserve">The global yearly run off of water is 24000 km3 
Gerten et al Journal of Hydrology 286 (2004) 249–270. Each person drinks about 2 l/day as an average. The total intake of water from the global population is thus 5,256 km3/year. Of 1 kg of emitted metal, 219 μg will enter humans through drinking water. This corresponds to a lifetime dose of 219/(365*70) = 0.00857 μg/day.
There is a 0,8% risk/ug/day to develop osteoporosis due to Cd exposure. (ESPREME, 2007, Exposure response functions for HM impacts on human health) 
Thus the average cases/kg Cd is 0.008*0.00875 =7.00E-5 </t>
        </r>
      </text>
    </comment>
    <comment ref="F42" authorId="0">
      <text>
        <r>
          <rPr>
            <sz val="9"/>
            <color indexed="81"/>
            <rFont val="Tahoma"/>
            <family val="2"/>
          </rPr>
          <t xml:space="preserve">The main uncertainty lies in the estimation of exposure levels. There is also an uncertainty in dose-respons
rates.
</t>
        </r>
      </text>
    </comment>
    <comment ref="E43" authorId="0">
      <text>
        <r>
          <rPr>
            <sz val="9"/>
            <color indexed="81"/>
            <rFont val="Tahoma"/>
            <family val="2"/>
          </rPr>
          <t>The global yearly run off of water is 24000 km3 
Gerten et al Journal of Hydrology 286 (2004) 249–270. Each person drinks about 2 l/day as an average. The total intake of water from the global population is thus 5,256 km3/year. Of 1 kg of emitted metal, 219 μg will enter humans through drinking water. This corresponds to a lifetime dose of 219/(365*70) = 0.00857 μg/day.
There is a 0.04% risk/ug/day to develop renal dysfunction due to Cd exposure. (ESPREME, 2007, Exposure response functions for HM impacts on human health) 
Thus the average cases/kg Cd is 0.0004*0.00875 =</t>
        </r>
      </text>
    </comment>
    <comment ref="F43" authorId="0">
      <text>
        <r>
          <rPr>
            <sz val="9"/>
            <color indexed="81"/>
            <rFont val="Tahoma"/>
            <family val="2"/>
          </rPr>
          <t xml:space="preserve">The main uncertainty lies in the estimation of exposure levels. There is also an uncertainty in dose-respons
rates.
</t>
        </r>
      </text>
    </comment>
    <comment ref="E46" authorId="0">
      <text>
        <r>
          <rPr>
            <sz val="9"/>
            <color indexed="81"/>
            <rFont val="Tahoma"/>
            <family val="2"/>
          </rPr>
          <t>The global yearly run off of water is 24000 km3 
Gerten et al Journal of Hydrology 286 (2004) 249–270. Each person drinks about 2 l/day as an average. The total intake of water from the global population is thus 5,256 km3/year. Of 1 kg of emitted metal, 219 μg will enter humans through drinking water. This corresponds to a lifetime dose of 219/(365*70) = 0.00857 μg/day.
There is a 0.3% increased risk/ug/daily intake to develop renal dysfunction due to Cr6+ exposure and an absolute risk of 1.35E-4 ug/daily intake (ESPREME, 2007, Exposure response functions for HM impacts on human health). 
Thus the average cases/kg Cd is 0.000135*0.00875 =1.1E-6</t>
        </r>
      </text>
    </comment>
    <comment ref="E48" authorId="0">
      <text>
        <r>
          <rPr>
            <sz val="9"/>
            <color indexed="81"/>
            <rFont val="Tahoma"/>
            <family val="2"/>
          </rPr>
          <t xml:space="preserve">The global yearly run off of water is 24000 km3 
Gerten et al Journal of Hydrology 286 (2004) 249–270. Each person drinks about 2 l/day as an average. The total intake of water from the global population is thus 5,256 km3/year. Of 1 kg of emitted metal, 219 μg will enter humans through drinking water. This corresponds to a lifetime dose of 219/(365*70) = 0.00857 μg/day.
There is evidence of an increased to develop renal dysfunction due to Ni intake but no quantitative dose-respons estimates (ESPREME, 2007, Exposure response functions for HM impacts on human health). 
</t>
        </r>
      </text>
    </comment>
    <comment ref="E50" authorId="0">
      <text>
        <r>
          <rPr>
            <sz val="9"/>
            <color indexed="81"/>
            <rFont val="Tahoma"/>
            <family val="2"/>
          </rPr>
          <t>The global yearly run off of water is 24000 km3 
Gerten et al Journal of Hydrology 286 (2004) 249–270. Each person drinks about 2 l/day as an average. The total intake of water from the global population is thus 5,256 km3/year. Of 1 kg of emitted metal, 219 μg will enter humans through drinking water. This corresponds to a lifetime dose of 219/(365*70) = 0.00857 μg/day.
There is a 0.2% increased risk/ug/dl in blood to develop renal dysfunction due to Pb exposure and an absolute risk of 6E-4 ug/daily intake (derived from ESPREME, 2007, Exposure response functions for HM impacts on human health). 
Thus the average cases/kg Pb is 0.0006*0.00875 =5.14E-6</t>
        </r>
      </text>
    </comment>
    <comment ref="E52" authorId="0">
      <text>
        <r>
          <rPr>
            <sz val="9"/>
            <color indexed="81"/>
            <rFont val="Tahoma"/>
            <family val="2"/>
          </rPr>
          <t>Some groups of the population in North America, Europe and New Zealand eating much locally caught fish tend to get high mercury concentrations in body tissue. This may lead to various health effects but the one of most concern is mental retardation of children due to prenatal exposure (Kjellström et al., 1988). In a New Zealand study, 1000 out of 11000 new mothers had consumed fish more than three times a week. 73 of these had hair mercury levels above 6 mg/kg. 50% of the high mercury level children had abnormal or questionable test results in a Denver Development Screening Test, whereas only 17% of the reference children had such results. This indicates that 0.2% of a “fish eating” population like New Zealand is affected. Globally the “fish eating” population is in the order of 200 millions. 0.2% of these are 400000. .
In a USEPA study to the Congress 1997, 166000 pregnant women were estimated to be eating fish above 100 g/day. This corresponds to  0.07% of the population.  Upscaled to the global population, 4.8 million people/year will be eating fish above 100 g/day. If the same frequency of high mercury levels are assumed as in New Zealand (73/1000), we obtain a figure of 0.073*4.8 million =345000 personyears per year.
In an Iraqi study, cited by USEPA, severe neurogical effects is observed first at hair concentrations above 10 - 50 mg/kg. The effect corresponding to DALY clessification of mild mental retardations is thereore estimated to 1000000 personyears per year.</t>
        </r>
      </text>
    </comment>
    <comment ref="F52" authorId="0">
      <text>
        <r>
          <rPr>
            <sz val="9"/>
            <color indexed="81"/>
            <rFont val="Tahoma"/>
            <family val="2"/>
          </rPr>
          <t xml:space="preserve">Most of the literature on health risks from mercury aims at finding safe levels and setting standards. What actually happens at high exposures is unclear and in particular is it unclear how the effects recorded at the accidental exposure in Iraq coincides with the DALY classification, in this case "intellectual disability: mild, moderate, severe or profound". In the Iraqi study of the 1971 Iraqi methylmercury poisoning incident 8 out of 54 children with doses of mercury in hair above 10 ppm had mental symptoms, but significant impacts where evident first at those children having exposures at 53 ppm and above.
</t>
        </r>
      </text>
    </comment>
    <comment ref="G52" authorId="0">
      <text>
        <r>
          <rPr>
            <sz val="9"/>
            <color indexed="81"/>
            <rFont val="Tahoma"/>
            <family val="2"/>
          </rPr>
          <t xml:space="preserve">The global anthropogenic emission of Hg to air is estimated to 1960 tonnes and 1000 tonnes to water in 2010 (UNEP, 2010). The natural emission is around 670 tonnes, and there is a substatial reemission of mercury from old depositions, approximately 4000 tonnes. Totally the emissions contributing to the population exposure via fish is thus 7630 ton.
</t>
        </r>
      </text>
    </comment>
    <comment ref="H52" authorId="0">
      <text>
        <r>
          <rPr>
            <sz val="9"/>
            <color indexed="81"/>
            <rFont val="Tahoma"/>
            <family val="2"/>
          </rPr>
          <t xml:space="preserve">Even if mercury is distributed on a global scale, it is uncertain how much of a single emissions that is transfeerd to methylmercury
</t>
        </r>
      </text>
    </comment>
  </commentList>
</comments>
</file>

<file path=xl/comments7.xml><?xml version="1.0" encoding="utf-8"?>
<comments xmlns="http://schemas.openxmlformats.org/spreadsheetml/2006/main">
  <authors>
    <author>Bengt Steen</author>
  </authors>
  <commentList>
    <comment ref="E1" authorId="0">
      <text>
        <r>
          <rPr>
            <sz val="9"/>
            <color indexed="81"/>
            <rFont val="Tahoma"/>
            <family val="2"/>
          </rPr>
          <t xml:space="preserve">Either the total decrease (+) or decrease (-) of indicator units due to the emission (=substance flow group)
or
decrease or increase of indicator units from 1 kg of a reference substance. The latter is used to model the characterisation factors, when  equivalency factors are available. </t>
        </r>
      </text>
    </comment>
    <comment ref="F1" authorId="0">
      <text>
        <r>
          <rPr>
            <sz val="9"/>
            <color indexed="81"/>
            <rFont val="Tahoma"/>
            <family val="2"/>
          </rPr>
          <t>If not specifically noted, the uncertaitny is expressed as a factor equal ti one standard deviation in a log normal distribution</t>
        </r>
      </text>
    </comment>
    <comment ref="H1" authorId="0">
      <text>
        <r>
          <rPr>
            <sz val="9"/>
            <color indexed="81"/>
            <rFont val="Tahoma"/>
            <family val="2"/>
          </rPr>
          <t>If not specifically noted, the uncertaitny is expressed as a factor equal ti one standard deviation in a log normal distribution</t>
        </r>
      </text>
    </comment>
    <comment ref="D3" authorId="0">
      <text>
        <r>
          <rPr>
            <sz val="9"/>
            <color indexed="81"/>
            <rFont val="Tahoma"/>
            <family val="2"/>
          </rPr>
          <t>CO2 impact pathways are from IPCC AR5</t>
        </r>
      </text>
    </comment>
    <comment ref="E3" authorId="0">
      <text>
        <r>
          <rPr>
            <sz val="9"/>
            <color indexed="81"/>
            <rFont val="Tahoma"/>
            <family val="2"/>
          </rPr>
          <t>IPCC AR5 refers to several studies on extreme heat and concludes that it is very likely that health effects from these will increase. But there is no quantitative estimation of the extension. The dose-respons data used here are the same as in Steen, CPM report 1999:5, but it is updated with regional responses and a new value for the YOLL per impact occasion (1 month) estimated from the heat wave in France 2003, where the impact were reduced by 75% when compared to average monthly mortality. (Impact of Summer Heat on Urban Population Mortality in Europe during the 1990s: An Evaluation of Years of Life Lost Adjusted for Harvesting, Michela Baccini1, Tom Kosatsky, Annibale Biggeri, PLOS ONE, July 2013, Volume 8, Issue 7)</t>
        </r>
      </text>
    </comment>
    <comment ref="F3" authorId="0">
      <text>
        <r>
          <rPr>
            <sz val="9"/>
            <color indexed="81"/>
            <rFont val="Tahoma"/>
            <family val="2"/>
          </rPr>
          <t>Most unceratiny is in the loss  in YOLL/case</t>
        </r>
      </text>
    </comment>
    <comment ref="G3" authorId="0">
      <text>
        <r>
          <rPr>
            <sz val="9"/>
            <color indexed="81"/>
            <rFont val="Tahoma"/>
            <family val="2"/>
          </rPr>
          <t>IPCC AR5 WGI SPM, table SPM.3, Scenario RCP6 estimates mean CO2 emissions to 3885Gton accumulated and CO2 contribution to temperature raise 88% (figure 12.3 in the full report).</t>
        </r>
      </text>
    </comment>
    <comment ref="H3" authorId="0">
      <text>
        <r>
          <rPr>
            <sz val="9"/>
            <color indexed="81"/>
            <rFont val="Tahoma"/>
            <family val="2"/>
          </rPr>
          <t>standard deviation in emission scenarios RCP 2.6 to RCP 8.5</t>
        </r>
      </text>
    </comment>
    <comment ref="E4" authorId="0">
      <text>
        <r>
          <rPr>
            <sz val="9"/>
            <color indexed="81"/>
            <rFont val="Tahoma"/>
            <family val="2"/>
          </rPr>
          <t xml:space="preserve">Similar modelling as for heat stress but there is no studies on YOLL/Case to refer to. This increases uncertainty. </t>
        </r>
      </text>
    </comment>
    <comment ref="F4" authorId="0">
      <text>
        <r>
          <rPr>
            <sz val="9"/>
            <color indexed="81"/>
            <rFont val="Tahoma"/>
            <family val="2"/>
          </rPr>
          <t>Increased uncertainty compared to heat stress as no studies on YOLL/case have been found.</t>
        </r>
      </text>
    </comment>
    <comment ref="G4" authorId="0">
      <text>
        <r>
          <rPr>
            <sz val="9"/>
            <color indexed="81"/>
            <rFont val="Tahoma"/>
            <family val="2"/>
          </rPr>
          <t>IPCC AR5 WGI SPM, table SPM.3, Scenario RCP6 estimates mean CO2 emissions to 3885Gton accumulated and CO2 contribution to temperature raise 88% (figure 12.3 in the full report).</t>
        </r>
      </text>
    </comment>
    <comment ref="H4" authorId="0">
      <text>
        <r>
          <rPr>
            <sz val="9"/>
            <color indexed="81"/>
            <rFont val="Tahoma"/>
            <family val="2"/>
          </rPr>
          <t>standard deviation in emission scenarios RCP 2.6 to RCP 8.5</t>
        </r>
      </text>
    </comment>
    <comment ref="E5" authorId="0">
      <text>
        <r>
          <rPr>
            <sz val="9"/>
            <color indexed="81"/>
            <rFont val="Tahoma"/>
            <family val="2"/>
          </rPr>
          <t>842 millions are starving today http://www.wfp.org/hunger/stats, 3.1 million children under 5 is estimated to die from starvation http://en.wikipedia.org/wiki/Starvation. 
Assuming a 27 year reduction in life expectancy for adults, based on conditions in the porest countries (Salomon et al, Lancet, Vol 380 December 15/22/29, 2012) and the present mortality rate from malnutrition (684000 cases per year (Lozano et al, Lancet, Vol 380 December 15/22/29, 2012) we get a total life expectancy decreasee of 3.1*75+0.684*27 =251million personyears/year. Assuming 10% increase from climate change (as for crop production) we get 25.1 million YOLL/year</t>
        </r>
      </text>
    </comment>
    <comment ref="F5" authorId="0">
      <text>
        <r>
          <rPr>
            <sz val="9"/>
            <color indexed="81"/>
            <rFont val="Tahoma"/>
            <family val="2"/>
          </rPr>
          <t xml:space="preserve">Assuming the present state will be representative for the time until 2100, the uncertainty is about a factor of 3. The estimation is based on two modelling approaches giving a factor of two in difference and a large uncertainty in how to allocate multifactor causes of mortality to malnutrition.
</t>
        </r>
      </text>
    </comment>
    <comment ref="G5" authorId="0">
      <text>
        <r>
          <rPr>
            <sz val="9"/>
            <color indexed="81"/>
            <rFont val="Tahoma"/>
            <family val="2"/>
          </rPr>
          <t>IPCC AR5 WGI SPM, table SPM.3, Scenario RCP6 estimates mean CO2 emissions to 3885Gton accumulated and CO2 contribution to temperature raise 88% (figure 12.3 in the full report).</t>
        </r>
      </text>
    </comment>
    <comment ref="H5" authorId="0">
      <text>
        <r>
          <rPr>
            <sz val="9"/>
            <color indexed="81"/>
            <rFont val="Tahoma"/>
            <family val="2"/>
          </rPr>
          <t>standard deviation in emission scenarios RCP 2.6 to RCP 8.5</t>
        </r>
      </text>
    </comment>
    <comment ref="E6" authorId="0">
      <text>
        <r>
          <rPr>
            <sz val="9"/>
            <color indexed="81"/>
            <rFont val="Tahoma"/>
            <family val="2"/>
          </rPr>
          <t>IPCC AR5 WGII Chapter 11.4.2.2 quoting Dasgupta et al. (2009)</t>
        </r>
      </text>
    </comment>
    <comment ref="G6" authorId="0">
      <text>
        <r>
          <rPr>
            <sz val="9"/>
            <color indexed="81"/>
            <rFont val="Tahoma"/>
            <family val="2"/>
          </rPr>
          <t>IPCC AR5 WGI SPM, table SPM.3, Scenario RCP6 estimates mean CO2 emissions to 3885Gton accumulated and CO2 contribution to temperature raise 88% (figure 12.3 in the full report).</t>
        </r>
      </text>
    </comment>
    <comment ref="H6" authorId="0">
      <text>
        <r>
          <rPr>
            <sz val="9"/>
            <color indexed="81"/>
            <rFont val="Tahoma"/>
            <family val="2"/>
          </rPr>
          <t>standard deviation in emission scenarios RCP 2.6 to RCP 8.5</t>
        </r>
      </text>
    </comment>
    <comment ref="E7" authorId="0">
      <text>
        <r>
          <rPr>
            <sz val="9"/>
            <color indexed="81"/>
            <rFont val="Tahoma"/>
            <family val="2"/>
          </rPr>
          <t>Kolstad and Johansson (2011) projected an increase of 8-11% in the risk of diarrhea in the tropics and subtropics in
2039 due to climate change (from AR5 WGII Ch11). 2010 1,4 million persons died in diarrhoeal diseases. Lozano et al The Lancet Vol 380 December 15/22/29, 2012.</t>
        </r>
      </text>
    </comment>
    <comment ref="G7" authorId="0">
      <text>
        <r>
          <rPr>
            <sz val="9"/>
            <color indexed="81"/>
            <rFont val="Tahoma"/>
            <family val="2"/>
          </rPr>
          <t>IPCC AR5 WGI SPM, table SPM.3, Scenario RCP6 estimates mean CO2 emissions to 3885Gton accumulated and CO2 contribution to temperature raise 88% (figure 12.3 in the full report).</t>
        </r>
      </text>
    </comment>
    <comment ref="H7" authorId="0">
      <text>
        <r>
          <rPr>
            <sz val="9"/>
            <color indexed="81"/>
            <rFont val="Tahoma"/>
            <family val="2"/>
          </rPr>
          <t>standard deviation in emission scenarios RCP 2.6 to RCP 8.5</t>
        </r>
      </text>
    </comment>
    <comment ref="G8" authorId="0">
      <text>
        <r>
          <rPr>
            <sz val="9"/>
            <color indexed="81"/>
            <rFont val="Tahoma"/>
            <family val="2"/>
          </rPr>
          <t>IPCC AR5 WGI SPM, table SPM.3, Scenario RCP6 estimates mean CO2 emissions to 3885Gton accumulated and CO2 contribution to temperature raise 88% (figure 12.3 in the full report).</t>
        </r>
      </text>
    </comment>
    <comment ref="H8" authorId="0">
      <text>
        <r>
          <rPr>
            <sz val="9"/>
            <color indexed="81"/>
            <rFont val="Tahoma"/>
            <family val="2"/>
          </rPr>
          <t>standard deviation in emission scenarios RCP 2.6 to RCP 8.5</t>
        </r>
      </text>
    </comment>
    <comment ref="E9" authorId="0">
      <text>
        <r>
          <rPr>
            <sz val="9"/>
            <color indexed="81"/>
            <rFont val="Tahoma"/>
            <family val="2"/>
          </rPr>
          <t xml:space="preserve">25 million under-nourished children under 5 the year 2050 according to WGII AR5 chapter 11, table 11-2.This is an increase with 22%. Later studies have indicated 10% increase. Children under 5 is about 10% of the population in developing countries. It is assumed that the rest of the family also is starving, i.e. total extention of malnutrition is 120 million per year. The present (2010) YLD is 49,9 million according to Vos et al, Lancet Vol 380 December 15/22/29, 2012. </t>
        </r>
      </text>
    </comment>
    <comment ref="F9" authorId="0">
      <text>
        <r>
          <rPr>
            <sz val="9"/>
            <color indexed="81"/>
            <rFont val="Tahoma"/>
            <family val="2"/>
          </rPr>
          <t xml:space="preserve">IPCC AR5 WGII have reported the increase in undernutrition to 22% and 10%. The YLD is today half of the estimation for 2050. </t>
        </r>
      </text>
    </comment>
    <comment ref="G9" authorId="0">
      <text>
        <r>
          <rPr>
            <sz val="9"/>
            <color indexed="81"/>
            <rFont val="Tahoma"/>
            <family val="2"/>
          </rPr>
          <t>IPCC AR5 WGI SPM, table SPM.3, Scenario RCP6 estimates mean CO2 emissions to 3885Gton accumulated and CO2 contribution to temperature raise 88% (figure 12.3 in the full report).</t>
        </r>
      </text>
    </comment>
    <comment ref="H9" authorId="0">
      <text>
        <r>
          <rPr>
            <sz val="9"/>
            <color indexed="81"/>
            <rFont val="Tahoma"/>
            <family val="2"/>
          </rPr>
          <t>standard deviation in emission scenarios RCP 2.6 to RCP 8.5</t>
        </r>
      </text>
    </comment>
    <comment ref="E10" authorId="0">
      <text>
        <r>
          <rPr>
            <sz val="9"/>
            <color indexed="81"/>
            <rFont val="Tahoma"/>
            <family val="2"/>
          </rPr>
          <t>AR5 WGII, Chapter 11.6.2.4 cites an estimation from Dunne et al of a 20% loss of productivity globally in RCP4.5 by 2100 compared to 1990 and 30% for RCP. From Dunne et al. figure 2 (Nature Climate Change, 3, 563-566, 2013) the decrease in productivity for the global labour force (performing physical labour) is estimated to 5% as an average for RCP6. The total workforce with a population of 9 billion is estimated to 6*0.65*0.3, where 6 is the population in ages 20-65 years, and 0.65 is the approximate present employment rate in OECD countries and 0.3 is the share of the work force performing physical labour (estimate from ILO database ILOSTAT and thehttp://www.oecd.org/els/emp/oecdlabourmarketoutcomes-employmentrates.htm )
Another estimation of the loss of productivity is 19%, made by   
Tord Kjellstrom, R Sari Kovats, Simon J. Lloyd, Tom Holt,
Richard S.J. Tol, The Direct Impact of Climate Change on Regional Labour
Productivity, ESRI working paper  260, October 2008 .</t>
        </r>
      </text>
    </comment>
    <comment ref="F10" authorId="0">
      <text>
        <r>
          <rPr>
            <sz val="9"/>
            <color indexed="81"/>
            <rFont val="Tahoma"/>
            <family val="2"/>
          </rPr>
          <t>There is an uncertainty in the estimation of the size of the physical workforce during the time until 2100, its work intensity distribution and to what extent this is included in the modelling made by Dunne et al.</t>
        </r>
      </text>
    </comment>
    <comment ref="G10" authorId="0">
      <text>
        <r>
          <rPr>
            <sz val="9"/>
            <color indexed="81"/>
            <rFont val="Tahoma"/>
            <family val="2"/>
          </rPr>
          <t>IPCC AR5 WGI SPM, table SPM.3, Scenario RCP6 estimates mean CO2 emissions to 3885Gton accumulated and CO2 contribution to temperature raise 88% (figure 12.3 in the full report).</t>
        </r>
      </text>
    </comment>
    <comment ref="H10" authorId="0">
      <text>
        <r>
          <rPr>
            <sz val="9"/>
            <color indexed="81"/>
            <rFont val="Tahoma"/>
            <family val="2"/>
          </rPr>
          <t>standard deviation in emission scenarios RCP 2.6 to RCP 8.5</t>
        </r>
      </text>
    </comment>
    <comment ref="E11" authorId="0">
      <text>
        <r>
          <rPr>
            <sz val="9"/>
            <color indexed="81"/>
            <rFont val="Tahoma"/>
            <family val="2"/>
          </rPr>
          <t>"In countries with endemic cholera, there appears to be a robust relationship between temperature and the disease (AR5, WGII, Ch 11.5.2 )."  "Kolstad and Johansson (2011) projected an increase of 8-11% in the risk of diarrhea in the tropics and subtropics in
2039 due to climate change, using the A1B scenario and 19 coupled atmosphere-ocean climate models from CMIP3. This study did not account for future changes in economic growth and social development" (AR5 WGII Ch 11.5.2.3). According to Vos et al. The Lancet, Vol 380 December 15/22/29, 2012 diarrhoeal deseases extended to 8 million personyears 2010.</t>
        </r>
      </text>
    </comment>
    <comment ref="F11" authorId="0">
      <text>
        <r>
          <rPr>
            <sz val="9"/>
            <color indexed="81"/>
            <rFont val="Tahoma"/>
            <family val="2"/>
          </rPr>
          <t xml:space="preserve">Vos et al give a range in their estimation of YLD as 5.3 - 11.3 millions. There is also an uncertainty due to social development.
</t>
        </r>
      </text>
    </comment>
    <comment ref="G11" authorId="0">
      <text>
        <r>
          <rPr>
            <sz val="9"/>
            <color indexed="81"/>
            <rFont val="Tahoma"/>
            <family val="2"/>
          </rPr>
          <t>IPCC AR5 WGI SPM, table SPM.3, Scenario RCP6 estimates mean CO2 emissions to 3885Gton accumulated and CO2 contribution to temperature raise 88% (figure 12.3 in the full report).</t>
        </r>
      </text>
    </comment>
    <comment ref="H11" authorId="0">
      <text>
        <r>
          <rPr>
            <sz val="9"/>
            <color indexed="81"/>
            <rFont val="Tahoma"/>
            <family val="2"/>
          </rPr>
          <t>standard deviation in emission scenarios RCP 2.6 to RCP 8.5</t>
        </r>
      </text>
    </comment>
    <comment ref="D12" authorId="0">
      <text>
        <r>
          <rPr>
            <sz val="9"/>
            <color indexed="81"/>
            <rFont val="Tahoma"/>
            <family val="2"/>
          </rPr>
          <t xml:space="preserve">temperature, draught, extreme temperature and precipitation, CO2 concentration
</t>
        </r>
      </text>
    </comment>
    <comment ref="E12" authorId="0">
      <text>
        <r>
          <rPr>
            <sz val="9"/>
            <color indexed="81"/>
            <rFont val="Tahoma"/>
            <family val="2"/>
          </rPr>
          <t>Data from http://faostat.fao.org/site/339/default.aspx for total production of 2.9 billion tons and IPCC WGII AR5 Chapter 7 figure 7-7 for an average 5 % decline (1% per decade) until 2100. The world production is assumed to follow population growth.</t>
        </r>
      </text>
    </comment>
    <comment ref="F12" authorId="0">
      <text>
        <r>
          <rPr>
            <sz val="9"/>
            <color indexed="81"/>
            <rFont val="Tahoma"/>
            <family val="2"/>
          </rPr>
          <t xml:space="preserve">AR5 WGII figure 7-7 gives an interval in predicted decrease of about a factor of 2.
</t>
        </r>
      </text>
    </comment>
    <comment ref="G12" authorId="0">
      <text>
        <r>
          <rPr>
            <sz val="9"/>
            <color indexed="81"/>
            <rFont val="Tahoma"/>
            <family val="2"/>
          </rPr>
          <t>IPCC AR5 WGI SPM, table SPM.3, Scenario RCP6 estimates mean CO2 emissions to 3885Gton accumulated and CO2 contribution to temperature raise 88% (figure 12.3 in the full report).</t>
        </r>
      </text>
    </comment>
    <comment ref="H12" authorId="0">
      <text>
        <r>
          <rPr>
            <sz val="9"/>
            <color indexed="81"/>
            <rFont val="Tahoma"/>
            <family val="2"/>
          </rPr>
          <t>standard deviation in emission scenarios RCP 2.6 to RCP 8.5</t>
        </r>
      </text>
    </comment>
    <comment ref="E13" authorId="0">
      <text>
        <r>
          <rPr>
            <sz val="9"/>
            <color indexed="81"/>
            <rFont val="Tahoma"/>
            <family val="2"/>
          </rPr>
          <t>Economy-wide Estimates of the Implications of Climate Change: Sea Level Rise FRANCESCO BOSELLO, ROBERTO ROSON
and RICHARD S. J. TOL
Environmental &amp; Resource Economics (2007) 37:549–571 estimates land loss to 1,25E5 km2. An anverage fertility of 5000kg/ha is assumed during 500 years</t>
        </r>
      </text>
    </comment>
    <comment ref="F13" authorId="0">
      <text>
        <r>
          <rPr>
            <sz val="9"/>
            <color indexed="81"/>
            <rFont val="Tahoma"/>
            <family val="2"/>
          </rPr>
          <t xml:space="preserve">Modelling made by Dasgupta 2009 indicate 30000 km2 to be affected in 84 developing countries. (AR5, WGII, Ch 11.4.2.2)
</t>
        </r>
      </text>
    </comment>
    <comment ref="G13" authorId="0">
      <text>
        <r>
          <rPr>
            <sz val="9"/>
            <color indexed="81"/>
            <rFont val="Tahoma"/>
            <family val="2"/>
          </rPr>
          <t>IPCC AR5 WGI SPM, table SPM.3, Scenario RCP6 estimates mean CO2 emissions to 3885Gton accumulated and CO2 contribution to temperature raise 88% (figure 12.3 in the full report).</t>
        </r>
      </text>
    </comment>
    <comment ref="H13" authorId="0">
      <text>
        <r>
          <rPr>
            <sz val="9"/>
            <color indexed="81"/>
            <rFont val="Tahoma"/>
            <family val="2"/>
          </rPr>
          <t>standard deviation in emission scenarios RCP 2.6 to RCP 8.5</t>
        </r>
      </text>
    </comment>
    <comment ref="G14" authorId="0">
      <text>
        <r>
          <rPr>
            <sz val="9"/>
            <color indexed="81"/>
            <rFont val="Tahoma"/>
            <family val="2"/>
          </rPr>
          <t>IPCC AR5 WGI SPM, table SPM.3, Scenario RCP6 estimates mean CO2 emissions to 3885Gton accumulated and CO2 contribution to temperature raise 88% (figure 12.3 in the full report).</t>
        </r>
      </text>
    </comment>
    <comment ref="H14" authorId="0">
      <text>
        <r>
          <rPr>
            <sz val="9"/>
            <color indexed="81"/>
            <rFont val="Tahoma"/>
            <family val="2"/>
          </rPr>
          <t>standard deviation in emission scenarios RCP 2.6 to RCP 8.5</t>
        </r>
      </text>
    </comment>
    <comment ref="E15" authorId="0">
      <text>
        <r>
          <rPr>
            <sz val="9"/>
            <color indexed="81"/>
            <rFont val="Tahoma"/>
            <family val="2"/>
          </rPr>
          <t>Data from http://faostat.fao.org/site/339/default.aspx for total production of 0,99 billion tons of fruit and vegetables and assuming IPCC WGII AR5 Chapter 7 figure 7-7 for an average 5 % decline of crop being representative for fruit and vegetables (1% per decade) until 2100. The world production is assumed to follow population growth.</t>
        </r>
      </text>
    </comment>
    <comment ref="F15" authorId="0">
      <text>
        <r>
          <rPr>
            <sz val="9"/>
            <color indexed="81"/>
            <rFont val="Tahoma"/>
            <family val="2"/>
          </rPr>
          <t xml:space="preserve">AR5 WGII figure 7-7 gives an interval in predicted decrease of about a factor of 2.
</t>
        </r>
      </text>
    </comment>
    <comment ref="G15" authorId="0">
      <text>
        <r>
          <rPr>
            <sz val="9"/>
            <color indexed="81"/>
            <rFont val="Tahoma"/>
            <family val="2"/>
          </rPr>
          <t>IPCC AR5 WGI SPM, table SPM.3, Scenario RCP6 estimates mean CO2 emissions to 3885Gton accumulated and CO2 contribution to temperature raise 88% (figure 12.3 in the full report).</t>
        </r>
      </text>
    </comment>
    <comment ref="H15" authorId="0">
      <text>
        <r>
          <rPr>
            <sz val="9"/>
            <color indexed="81"/>
            <rFont val="Tahoma"/>
            <family val="2"/>
          </rPr>
          <t>standard deviation in emission scenarios RCP 2.6 to RCP 8.5</t>
        </r>
      </text>
    </comment>
    <comment ref="E16" authorId="0">
      <text>
        <r>
          <rPr>
            <sz val="9"/>
            <color indexed="81"/>
            <rFont val="Tahoma"/>
            <family val="2"/>
          </rPr>
          <t>Data from http://faostat.fao.org/site/339/default.aspx for total production of 0,39 billion tons of meat and assuming IPCC WGII AR5 Chapter 7.4.3 chapter  for an average 5 % decline of crop being representative for meat (1% per decade) until 2100. The world production is assumed to follow population growth.</t>
        </r>
      </text>
    </comment>
    <comment ref="F16" authorId="0">
      <text>
        <r>
          <rPr>
            <sz val="9"/>
            <color indexed="81"/>
            <rFont val="Tahoma"/>
            <family val="2"/>
          </rPr>
          <t xml:space="preserve">AR5 WGII figure 7-7 gives an interval in predicted decrease of about a factor of 2.
</t>
        </r>
      </text>
    </comment>
    <comment ref="G16" authorId="0">
      <text>
        <r>
          <rPr>
            <sz val="9"/>
            <color indexed="81"/>
            <rFont val="Tahoma"/>
            <family val="2"/>
          </rPr>
          <t>IPCC AR5 WGI SPM, table SPM.3, Scenario RCP6 estimates mean CO2 emissions to 3885Gton accumulated and CO2 contribution to temperature raise 88% (figure 12.3 in the full report).</t>
        </r>
      </text>
    </comment>
    <comment ref="H16" authorId="0">
      <text>
        <r>
          <rPr>
            <sz val="9"/>
            <color indexed="81"/>
            <rFont val="Tahoma"/>
            <family val="2"/>
          </rPr>
          <t>standard deviation in emission scenarios RCP 2.6 to RCP 8.5</t>
        </r>
      </text>
    </comment>
    <comment ref="E17" authorId="0">
      <text>
        <r>
          <rPr>
            <sz val="9"/>
            <color indexed="81"/>
            <rFont val="Tahoma"/>
            <family val="2"/>
          </rPr>
          <t>Forests cover about 4 billion hectars of land. An average production capacity is estimated to 3000 kg of dry wood/hectar and the average impact from climate change and increase of plus or minus a few % globally.Kramer et al indicates a growth of about 5% for boreal forests, while temperate and tropical forests may even be negatively influenced. AR5 WGII, chaper 4 reports on very different results for different areas and time periods in all three forest types (Boreal, temperate and tropica). A 2% change would give a chage of 240 billion kg/year in production. We assume an average of 0 and a linea normal distribution for the uncertainty with a standard deviation of 2.</t>
        </r>
      </text>
    </comment>
    <comment ref="F17" authorId="0">
      <text>
        <r>
          <rPr>
            <sz val="9"/>
            <color indexed="81"/>
            <rFont val="Tahoma"/>
            <family val="2"/>
          </rPr>
          <t>A linear normal distribution is  assumed for the uncertainty</t>
        </r>
      </text>
    </comment>
    <comment ref="G17" authorId="0">
      <text>
        <r>
          <rPr>
            <sz val="9"/>
            <color indexed="81"/>
            <rFont val="Tahoma"/>
            <family val="2"/>
          </rPr>
          <t>IPCC AR5 WGI SPM, table SPM.3, Scenario RCP6 estimates mean CO2 emissions to 3885Gton accumulated and CO2 contribution to temperature raise 88% (figure 12.3 in the full report).</t>
        </r>
      </text>
    </comment>
    <comment ref="H17" authorId="0">
      <text>
        <r>
          <rPr>
            <sz val="9"/>
            <color indexed="81"/>
            <rFont val="Tahoma"/>
            <family val="2"/>
          </rPr>
          <t>standard deviation in emission scenarios RCP 2.6 to RCP 8.5</t>
        </r>
      </text>
    </comment>
    <comment ref="E18" authorId="0">
      <text>
        <r>
          <rPr>
            <sz val="9"/>
            <color indexed="81"/>
            <rFont val="Tahoma"/>
            <family val="2"/>
          </rPr>
          <t>AR5 WGII Chapter 3, 4.4:"Each degree of global warming (up to 2.7°C above pre-industrial levels; Schewe et al., 2013) is projected to decrease renewable water resources by at least 20% for an additional 7% of the world population." For RCP 6.0 this means about 1oC as an average from 2012- to 2100, 0.07*9billion persons living with water scarcity is affected. The average water withdrawal today is aroung 400-700 m3/person and year in countries at risk like Mexico, India and China. The decrease availablity of water is therefore estimated to around, 0.07*9billion persons*500m3/person*0.2 =6.3E12 kg/year. Half of this is assumed to have drinking water quality.</t>
        </r>
      </text>
    </comment>
    <comment ref="G18" authorId="0">
      <text>
        <r>
          <rPr>
            <sz val="9"/>
            <color indexed="81"/>
            <rFont val="Tahoma"/>
            <family val="2"/>
          </rPr>
          <t>IPCC AR5 WGI SPM, table SPM.3, Scenario RCP6 estimates mean CO2 emissions to 3885Gton accumulated and CO2 contribution to temperature raise 88% (figure 12.3 in the full report).</t>
        </r>
      </text>
    </comment>
    <comment ref="H18" authorId="0">
      <text>
        <r>
          <rPr>
            <sz val="9"/>
            <color indexed="81"/>
            <rFont val="Tahoma"/>
            <family val="2"/>
          </rPr>
          <t>standard deviation in emission scenarios RCP 2.6 to RCP 8.5</t>
        </r>
      </text>
    </comment>
    <comment ref="G19" authorId="0">
      <text>
        <r>
          <rPr>
            <sz val="9"/>
            <color indexed="81"/>
            <rFont val="Tahoma"/>
            <family val="2"/>
          </rPr>
          <t>IPCC AR5 WGI SPM, table SPM.3, Scenario RCP6 estimates mean CO2 emissions to 3885Gton accumulated and CO2 contribution to temperature raise 88% (figure 12.3 in the full report).</t>
        </r>
      </text>
    </comment>
    <comment ref="H19" authorId="0">
      <text>
        <r>
          <rPr>
            <sz val="9"/>
            <color indexed="81"/>
            <rFont val="Tahoma"/>
            <family val="2"/>
          </rPr>
          <t>standard deviation in emission scenarios RCP 2.6 to RCP 8.5</t>
        </r>
      </text>
    </comment>
    <comment ref="E20" authorId="0">
      <text>
        <r>
          <rPr>
            <sz val="9"/>
            <color indexed="81"/>
            <rFont val="Tahoma"/>
            <family val="2"/>
          </rPr>
          <t xml:space="preserve">1000 TWh increased use of energy for air conditioning (AR5, WGII Ch 10.2) Decreased use of energy in cold and temperate regions is not included as access to energy is not at risk there. It is assumed that the increased energy use has a duration of one month, corresponding to an iincreased effect of 1.4 billion kW </t>
        </r>
      </text>
    </comment>
    <comment ref="F20" authorId="0">
      <text>
        <r>
          <rPr>
            <sz val="9"/>
            <color indexed="81"/>
            <rFont val="Tahoma"/>
            <family val="2"/>
          </rPr>
          <t>The extension value is highly dependent on technical development in regions at risk for extreme heat.</t>
        </r>
      </text>
    </comment>
    <comment ref="G20" authorId="0">
      <text>
        <r>
          <rPr>
            <sz val="9"/>
            <color indexed="81"/>
            <rFont val="Tahoma"/>
            <family val="2"/>
          </rPr>
          <t>IPCC AR5 WGI SPM, table SPM.3, Scenario RCP6 estimates mean CO2 emissions to 3885Gton accumulated and CO2 contribution to temperature raise 88% (figure 12.3 in the full report).</t>
        </r>
      </text>
    </comment>
    <comment ref="H20" authorId="0">
      <text>
        <r>
          <rPr>
            <sz val="9"/>
            <color indexed="81"/>
            <rFont val="Tahoma"/>
            <family val="2"/>
          </rPr>
          <t>standard deviation in emission scenarios RCP 2.6 to RCP 8.5</t>
        </r>
      </text>
    </comment>
    <comment ref="E21" authorId="0">
      <text>
        <r>
          <rPr>
            <sz val="9"/>
            <color indexed="81"/>
            <rFont val="Tahoma"/>
            <family val="2"/>
          </rPr>
          <t>Global insured weather-related losses in the period 1980-2008 increased by US$2008 1.4bn per year on average (Barthel and Neumayer, 2012). (AR5 WGII Ch 10.7.3) If all is attributed to climate change which was about + 0.7 oC as land surface temperature  in that period, this indicates that there will be in the order of 2 bn € as an average until 2100. If all is housing, this corresponds to 1 million m2.</t>
        </r>
      </text>
    </comment>
    <comment ref="F21" authorId="0">
      <text>
        <r>
          <rPr>
            <sz val="9"/>
            <color indexed="81"/>
            <rFont val="Tahoma"/>
            <family val="2"/>
          </rPr>
          <t xml:space="preserve">Future adaption and mitigation may decrease the impact. </t>
        </r>
      </text>
    </comment>
    <comment ref="G21" authorId="0">
      <text>
        <r>
          <rPr>
            <sz val="9"/>
            <color indexed="81"/>
            <rFont val="Tahoma"/>
            <family val="2"/>
          </rPr>
          <t>IPCC AR5 WGI SPM, table SPM.3, Scenario RCP6 estimates mean CO2 emissions to 3885Gton accumulated and CO2 contribution to temperature raise 88% (figure 12.3 in the full report).</t>
        </r>
      </text>
    </comment>
    <comment ref="H21" authorId="0">
      <text>
        <r>
          <rPr>
            <sz val="9"/>
            <color indexed="81"/>
            <rFont val="Tahoma"/>
            <family val="2"/>
          </rPr>
          <t>standard deviation in emission scenarios RCP 2.6 to RCP 8.5</t>
        </r>
      </text>
    </comment>
    <comment ref="E22" authorId="0">
      <text>
        <r>
          <rPr>
            <sz val="9"/>
            <color indexed="81"/>
            <rFont val="Tahoma"/>
            <family val="2"/>
          </rPr>
          <t xml:space="preserve">"Nicholls et al. (2011) estimate that without protection 72 to 187 million people would be displaced due to land loss due to submergence and erosion by 2100 assuming GMSL
increases of 0.5 to 2.0 m by 2100. Upgrading coastal defenses and nourishing beaches would reduce these impacts roughly by three orders of magnitude. Hinkel et al. (2013) estimate the number of people flooded annually in 2100 to reach 170 to 260 million per year in 2100 without upgrading protection and two orders of magnitude smaller with dike (levee) upgrades, if GMSL rises 0.6 to 1.3 m by 2100." From AR5 WGII, Ch 5.4.3.1. Here, the best estimate is set to 1 bn separations during the 21st centrury.
</t>
        </r>
      </text>
    </comment>
    <comment ref="F22" authorId="0">
      <text>
        <r>
          <rPr>
            <sz val="9"/>
            <color indexed="81"/>
            <rFont val="Tahoma"/>
            <family val="2"/>
          </rPr>
          <t>The best estimate is highly uncertain and represents a likely magnitude rather than a figure.</t>
        </r>
      </text>
    </comment>
    <comment ref="G22" authorId="0">
      <text>
        <r>
          <rPr>
            <sz val="9"/>
            <color indexed="81"/>
            <rFont val="Tahoma"/>
            <family val="2"/>
          </rPr>
          <t>IPCC AR5 WGI SPM, table SPM.3, Scenario RCP6 estimates mean CO2 emissions to 3885Gton accumulated and CO2 contribution to temperature raise 88% (figure 12.3 in the full report).</t>
        </r>
      </text>
    </comment>
    <comment ref="H22" authorId="0">
      <text>
        <r>
          <rPr>
            <sz val="9"/>
            <color indexed="81"/>
            <rFont val="Tahoma"/>
            <family val="2"/>
          </rPr>
          <t>standard deviation in emission scenarios RCP 2.6 to RCP 8.5</t>
        </r>
      </text>
    </comment>
    <comment ref="E23" authorId="0">
      <text>
        <r>
          <rPr>
            <sz val="9"/>
            <color indexed="81"/>
            <rFont val="Tahoma"/>
            <family val="2"/>
          </rPr>
          <t>70% of the present population of birds will be affected of changing habitat (AR5 WGII).
Future conservation measures need to be increased and climate change alone is aaumed tol require this magnitude of means.</t>
        </r>
      </text>
    </comment>
    <comment ref="F23" authorId="0">
      <text>
        <r>
          <rPr>
            <sz val="9"/>
            <color indexed="81"/>
            <rFont val="Tahoma"/>
            <family val="2"/>
          </rPr>
          <t>The best estimate is highly uncertain and represents a likely magnitude rather than a figure.</t>
        </r>
      </text>
    </comment>
    <comment ref="G23" authorId="0">
      <text>
        <r>
          <rPr>
            <sz val="9"/>
            <color indexed="81"/>
            <rFont val="Tahoma"/>
            <family val="2"/>
          </rPr>
          <t>IPCC AR5 WGI SPM, table SPM.3, Scenario RCP6 estimates mean CO2 emissions to 3885Gton accumulated and CO2 contribution to temperature raise 88% (figure 12.3 in the full report).</t>
        </r>
      </text>
    </comment>
    <comment ref="H23" authorId="0">
      <text>
        <r>
          <rPr>
            <sz val="9"/>
            <color indexed="81"/>
            <rFont val="Tahoma"/>
            <family val="2"/>
          </rPr>
          <t>standard deviation in emission scenarios RCP 2.6 to RCP 8.5</t>
        </r>
      </text>
    </comment>
    <comment ref="G26" authorId="0">
      <text>
        <r>
          <rPr>
            <sz val="9"/>
            <color indexed="81"/>
            <rFont val="Tahoma"/>
            <family val="2"/>
          </rPr>
          <t>Table 8.A.4 AR5, WGI gives a GWP100 of 5,3 +/- 2,3</t>
        </r>
      </text>
    </comment>
    <comment ref="H26" authorId="0">
      <text>
        <r>
          <rPr>
            <sz val="9"/>
            <color indexed="81"/>
            <rFont val="Tahoma"/>
            <family val="2"/>
          </rPr>
          <t>Table 8.A.4 AR5, WGI gives a GWP100 of 5.3+/-2.3 as 95% confidence interval.</t>
        </r>
      </text>
    </comment>
    <comment ref="G27" authorId="0">
      <text>
        <r>
          <rPr>
            <sz val="9"/>
            <color indexed="81"/>
            <rFont val="Tahoma"/>
            <family val="2"/>
          </rPr>
          <t>Average of POCP AOT40 and AOT 60  for Nox is 0.62 and for CO 0.021 according to
Eric Labouze, Cécile Honoré, Lamya Moulay, Bénédicte Couffignal and Matthias Beekmann, Photochemical Ozone Creation Potentials, Int J LCA 9 (3) 187- 195 (2004)</t>
        </r>
      </text>
    </comment>
    <comment ref="H27" authorId="0">
      <text>
        <r>
          <rPr>
            <sz val="9"/>
            <color indexed="81"/>
            <rFont val="Tahoma"/>
            <family val="2"/>
          </rPr>
          <t>The contribution to the impact on YOLL varies considerably between regions</t>
        </r>
      </text>
    </comment>
    <comment ref="E28" authorId="0">
      <text>
        <r>
          <rPr>
            <sz val="9"/>
            <color indexed="81"/>
            <rFont val="Tahoma"/>
            <family val="2"/>
          </rPr>
          <t>Most of the impacts assessments of CO was made in USA 1960-1990. A significant improvement was achived in this period. According to Flachsbart, Ott, and Switzer 2003, there was a decrease corresponding to a factor of 5 during that period. Air pollution statistics from the EPA's Air Quality Trends information states that carbon monoxide pollution in the United States went down by 51% from 2000 to 2010. EU statistics also show low CO concentrations. The figures from Steen 1999 (EPS v 2000d) is therefore used as a conservative figure.</t>
        </r>
      </text>
    </comment>
    <comment ref="F28" authorId="0">
      <text>
        <r>
          <rPr>
            <sz val="9"/>
            <color indexed="81"/>
            <rFont val="Tahoma"/>
            <family val="2"/>
          </rPr>
          <t xml:space="preserve">Very little is known about population exposure in developing countries. 
</t>
        </r>
      </text>
    </comment>
    <comment ref="G28" authorId="0">
      <text>
        <r>
          <rPr>
            <sz val="9"/>
            <color indexed="81"/>
            <rFont val="Tahoma"/>
            <family val="2"/>
          </rPr>
          <t>The annual global emissions of carbon monoxide into the atmosphere have been estimated to be as
high as 2600 million tonnes, of which about 60% are from human activities and about 40% from
natural processes (Air quality criteria for carbon monoxide. Washington, DC. US Environmental Protection
Agency, Office of Research and Development, 1991 (publication no. EPA-600/B-90/045F)).</t>
        </r>
      </text>
    </comment>
    <comment ref="H28" authorId="0">
      <text>
        <r>
          <rPr>
            <sz val="9"/>
            <color indexed="81"/>
            <rFont val="Tahoma"/>
            <family val="2"/>
          </rPr>
          <t xml:space="preserve">An emission of CO contributes very differently to health impacts depending on local conditions. To some degree, these differences are decreased as most emissions are from transports and occur at many places.
</t>
        </r>
      </text>
    </comment>
    <comment ref="G29" authorId="0">
      <text>
        <r>
          <rPr>
            <sz val="9"/>
            <color indexed="81"/>
            <rFont val="Tahoma"/>
            <family val="2"/>
          </rPr>
          <t>Table 8.A.4 AR5, WGI gives a GWP100 of 5,3 +/- 2,3</t>
        </r>
      </text>
    </comment>
    <comment ref="G30" authorId="0">
      <text>
        <r>
          <rPr>
            <sz val="9"/>
            <color indexed="81"/>
            <rFont val="Tahoma"/>
            <family val="2"/>
          </rPr>
          <t>Table 8.A.4 AR5, WGI gives a GWP100 of 5,3 +/- 2,3</t>
        </r>
      </text>
    </comment>
    <comment ref="H30" authorId="0">
      <text>
        <r>
          <rPr>
            <sz val="9"/>
            <color indexed="81"/>
            <rFont val="Tahoma"/>
            <family val="2"/>
          </rPr>
          <t>Table 8.A.4 AR5, WGI gives a GWP100 of 5.3+/-2.3 as 95% confidence interval.</t>
        </r>
      </text>
    </comment>
    <comment ref="G31" authorId="0">
      <text>
        <r>
          <rPr>
            <sz val="9"/>
            <color indexed="81"/>
            <rFont val="Tahoma"/>
            <family val="2"/>
          </rPr>
          <t>Table 8.A.4 AR5, WGI gives a GWP100 of 5,3 +/- 2,3</t>
        </r>
      </text>
    </comment>
    <comment ref="H31" authorId="0">
      <text>
        <r>
          <rPr>
            <sz val="9"/>
            <color indexed="81"/>
            <rFont val="Tahoma"/>
            <family val="2"/>
          </rPr>
          <t>Table 8.A.4 AR5, WGI gives a GWP100 of 5.3+/-2.3 as 95% confidence interval.</t>
        </r>
      </text>
    </comment>
    <comment ref="G32" authorId="0">
      <text>
        <r>
          <rPr>
            <sz val="9"/>
            <color indexed="81"/>
            <rFont val="Tahoma"/>
            <family val="2"/>
          </rPr>
          <t>Table 8.A.4 AR5, WGI gives a GWP100 of 5,3 +/- 2,3</t>
        </r>
      </text>
    </comment>
    <comment ref="H32" authorId="0">
      <text>
        <r>
          <rPr>
            <sz val="9"/>
            <color indexed="81"/>
            <rFont val="Tahoma"/>
            <family val="2"/>
          </rPr>
          <t>Table 8.A.4 AR5, WGI gives a GWP100 of 5.3+/-2.3 as 95% confidence interval.</t>
        </r>
      </text>
    </comment>
    <comment ref="G33" authorId="0">
      <text>
        <r>
          <rPr>
            <sz val="9"/>
            <color indexed="81"/>
            <rFont val="Tahoma"/>
            <family val="2"/>
          </rPr>
          <t>Table 8.A.4 AR5, WGI gives a GWP100 of 5,3 +/- 2,3</t>
        </r>
      </text>
    </comment>
    <comment ref="H33" authorId="0">
      <text>
        <r>
          <rPr>
            <sz val="9"/>
            <color indexed="81"/>
            <rFont val="Tahoma"/>
            <family val="2"/>
          </rPr>
          <t>Table 8.A.4 AR5, WGI gives a GWP100 of 5.3+/-2.3 as 95% confidence interval.</t>
        </r>
      </text>
    </comment>
    <comment ref="G34" authorId="0">
      <text>
        <r>
          <rPr>
            <sz val="9"/>
            <color indexed="81"/>
            <rFont val="Tahoma"/>
            <family val="2"/>
          </rPr>
          <t>Table 8.A.4 AR5, WGI gives a GWP100 of 5,3 +/- 2,3</t>
        </r>
      </text>
    </comment>
    <comment ref="H34" authorId="0">
      <text>
        <r>
          <rPr>
            <sz val="9"/>
            <color indexed="81"/>
            <rFont val="Tahoma"/>
            <family val="2"/>
          </rPr>
          <t>Table 8.A.4 AR5, WGI gives a GWP100 of 5.3+/-2.3 as 95% confidence interval.</t>
        </r>
      </text>
    </comment>
    <comment ref="F35" authorId="0">
      <text>
        <r>
          <rPr>
            <sz val="9"/>
            <color indexed="81"/>
            <rFont val="Tahoma"/>
            <family val="2"/>
          </rPr>
          <t>A linear normal distribution is  assumed for the uncertainty</t>
        </r>
      </text>
    </comment>
    <comment ref="G35" authorId="0">
      <text>
        <r>
          <rPr>
            <sz val="9"/>
            <color indexed="81"/>
            <rFont val="Tahoma"/>
            <family val="2"/>
          </rPr>
          <t>Table 8.A.4 AR5, WGI gives a GWP100 of 5,3 +/- 2,3</t>
        </r>
      </text>
    </comment>
    <comment ref="H35" authorId="0">
      <text>
        <r>
          <rPr>
            <sz val="9"/>
            <color indexed="81"/>
            <rFont val="Tahoma"/>
            <family val="2"/>
          </rPr>
          <t>Table 8.A.4 AR5, WGI gives a GWP100 of 5.3+/-2.3 as 95% confidence interval.</t>
        </r>
      </text>
    </comment>
    <comment ref="G36" authorId="0">
      <text>
        <r>
          <rPr>
            <sz val="9"/>
            <color indexed="81"/>
            <rFont val="Tahoma"/>
            <family val="2"/>
          </rPr>
          <t>Table 8.A.4 AR5, WGI gives a GWP100 of 5,3 +/- 2,3</t>
        </r>
      </text>
    </comment>
    <comment ref="H36" authorId="0">
      <text>
        <r>
          <rPr>
            <sz val="9"/>
            <color indexed="81"/>
            <rFont val="Tahoma"/>
            <family val="2"/>
          </rPr>
          <t>Table 8.A.4 AR5, WGI gives a GWP100 of 5.3+/-2.3 as 95% confidence interval.</t>
        </r>
      </text>
    </comment>
    <comment ref="G37" authorId="0">
      <text>
        <r>
          <rPr>
            <sz val="9"/>
            <color indexed="81"/>
            <rFont val="Tahoma"/>
            <family val="2"/>
          </rPr>
          <t>Table 8.A.4 AR5, WGI gives a GWP100 of 5,3 +/- 2,3</t>
        </r>
      </text>
    </comment>
    <comment ref="H37" authorId="0">
      <text>
        <r>
          <rPr>
            <sz val="9"/>
            <color indexed="81"/>
            <rFont val="Tahoma"/>
            <family val="2"/>
          </rPr>
          <t>Table 8.A.4 AR5, WGI gives a GWP100 of 5.3+/-2.3 as 95% confidence interval.</t>
        </r>
      </text>
    </comment>
    <comment ref="G38" authorId="0">
      <text>
        <r>
          <rPr>
            <sz val="9"/>
            <color indexed="81"/>
            <rFont val="Tahoma"/>
            <family val="2"/>
          </rPr>
          <t>Table 8.A.4 AR5, WGI gives a GWP100 of 5,3 +/- 2,3</t>
        </r>
      </text>
    </comment>
    <comment ref="H38" authorId="0">
      <text>
        <r>
          <rPr>
            <sz val="9"/>
            <color indexed="81"/>
            <rFont val="Tahoma"/>
            <family val="2"/>
          </rPr>
          <t>Table 8.A.4 AR5, WGI gives a GWP100 of 5.3+/-2.3 as 95% confidence interval.</t>
        </r>
      </text>
    </comment>
    <comment ref="G39" authorId="0">
      <text>
        <r>
          <rPr>
            <sz val="9"/>
            <color indexed="81"/>
            <rFont val="Tahoma"/>
            <family val="2"/>
          </rPr>
          <t>Table 8.A.4 AR5, WGI gives a GWP100 of 5,3 +/- 2,3</t>
        </r>
      </text>
    </comment>
    <comment ref="H39" authorId="0">
      <text>
        <r>
          <rPr>
            <sz val="9"/>
            <color indexed="81"/>
            <rFont val="Tahoma"/>
            <family val="2"/>
          </rPr>
          <t>Table 8.A.4 AR5, WGI gives a GWP100 of 5.3+/-2.3 as 95% confidence interval.</t>
        </r>
      </text>
    </comment>
    <comment ref="G40" authorId="0">
      <text>
        <r>
          <rPr>
            <sz val="9"/>
            <color indexed="81"/>
            <rFont val="Tahoma"/>
            <family val="2"/>
          </rPr>
          <t>Table 8.A.4 AR5, WGI gives a GWP100 of 5,3 +/- 2,3</t>
        </r>
      </text>
    </comment>
    <comment ref="H40" authorId="0">
      <text>
        <r>
          <rPr>
            <sz val="9"/>
            <color indexed="81"/>
            <rFont val="Tahoma"/>
            <family val="2"/>
          </rPr>
          <t>Table 8.A.4 AR5, WGI gives a GWP100 of 5.3+/-2.3 as 95% confidence interval.</t>
        </r>
      </text>
    </comment>
    <comment ref="G41" authorId="0">
      <text>
        <r>
          <rPr>
            <sz val="9"/>
            <color indexed="81"/>
            <rFont val="Tahoma"/>
            <family val="2"/>
          </rPr>
          <t>Table 8.A.4 AR5, WGI gives a GWP100 of 5,3 +/- 2,3</t>
        </r>
      </text>
    </comment>
    <comment ref="H41" authorId="0">
      <text>
        <r>
          <rPr>
            <sz val="9"/>
            <color indexed="81"/>
            <rFont val="Tahoma"/>
            <family val="2"/>
          </rPr>
          <t>Table 8.A.4 AR5, WGI gives a GWP100 of 5.3+/-2.3 as 95% confidence interval.</t>
        </r>
      </text>
    </comment>
    <comment ref="A44" authorId="0">
      <text>
        <r>
          <rPr>
            <sz val="9"/>
            <color indexed="81"/>
            <rFont val="Tahoma"/>
            <family val="2"/>
          </rPr>
          <t xml:space="preserve">As NO2
</t>
        </r>
      </text>
    </comment>
    <comment ref="E44" authorId="0">
      <text>
        <r>
          <rPr>
            <sz val="9"/>
            <color indexed="81"/>
            <rFont val="Tahoma"/>
            <family val="2"/>
          </rPr>
          <t>There is no indication of health effects of sulphate and nitrate particles in air (Inhal Toxicol. 2007 May;19(5):419-49. Evidence of health impacts of sulfate-and nitrate-containing particles in ambient air. Reiss R1, Anderson EL, Cross CE, Hidy G, Hoel D, McClellan R, Moolgavkar S.)
Only climate change impacts are included.</t>
        </r>
      </text>
    </comment>
    <comment ref="F44" authorId="0">
      <text>
        <r>
          <rPr>
            <sz val="9"/>
            <color indexed="81"/>
            <rFont val="Tahoma"/>
            <family val="2"/>
          </rPr>
          <t xml:space="preserve">A similar uncertainty exists as for CO2, and added to that comes a larger uncertainty for GWP for particles
</t>
        </r>
      </text>
    </comment>
    <comment ref="G44" authorId="0">
      <text>
        <r>
          <rPr>
            <sz val="9"/>
            <color indexed="81"/>
            <rFont val="Tahoma"/>
            <family val="2"/>
          </rPr>
          <t>When NO2 is oxidised to nitrate, mass increases with 26%. However all No2 is not converted to particles. The same conversion factor as for sulphate is assumed, i.e. 50%. This gives an equivalency factor of 0.63.</t>
        </r>
      </text>
    </comment>
    <comment ref="G45" authorId="0">
      <text>
        <r>
          <rPr>
            <sz val="9"/>
            <color indexed="81"/>
            <rFont val="Tahoma"/>
            <family val="2"/>
          </rPr>
          <t xml:space="preserve">Estimation of GWP100 for NOx from shipping is made in AR5 WGII Table 8.SM.18, to values between -73 to -25 per kg N. Here a best estimate of -50 is used as global average for ground level emissions. The impact on Nox on radiative forcing is mainly from its decrease of CH4 ( –0.254 Wm2) and from increase of ozone (0.143 Wm2). The effect of nitrate is low (-0,04 Wm2) (Table 8.SM.6).
</t>
        </r>
      </text>
    </comment>
    <comment ref="E46" authorId="0">
      <text>
        <r>
          <rPr>
            <sz val="9"/>
            <color indexed="81"/>
            <rFont val="Tahoma"/>
            <family val="2"/>
          </rPr>
          <t>Risk assessment s are available from USA estimating YOLL from ozone to 36000/year at a mean ozone concernation of 48 ppb (Neal Fann,∗ Amy D. Lamson, Susan C. Anenberg, Karen Wesson, David Risley, and Bryan J. Hubbell, Estimating the National Public Health Burden Associated with Exposure to Ambient PM2.5 and Ozone, 0272-4332/11/0100-0001$22.00/1 C   2011 Society for Risk Analysis, DOI: 10.1111/j.1539-6924.2011.01630.x)
Scaling up these estimates to a global level with an estimated similar  average concentration, 36000/314*7200 YOLLs per year in obtained totally from ozone.
The contribution from NOx to ground level ozone formation may be estimated by multiplying the emissions (AR5, WGI, Table 8.SM.19) of all ozone forming substances, mainly NOx (1.22E5 Gg/yr), CO (8.93E5 Gg/yr), NMVOC (1.6E5 Gg/yr) and methane (3.64E5 Gg/yr) with their respective POCP, i.e. 0.62, 0.021, 0.029 (data from Labouze et al, Int J LCA 9 (3) 2004) and 0.008 (data from Johanna Altenstedt and Karin Pleijel, IVL report B-1305 Göteborg, Sweden september 1998). The contribution to ground level ozone from NOx is the 52.7% and the YOLLS caused by NOx are 36000/314*7200*0,27.</t>
        </r>
      </text>
    </comment>
    <comment ref="G46" authorId="0">
      <text>
        <r>
          <rPr>
            <sz val="9"/>
            <color indexed="81"/>
            <rFont val="Tahoma"/>
            <family val="2"/>
          </rPr>
          <t xml:space="preserve">Global emissions of NOx as N is 3.72E+04 Gg (Table 8.SM.19). </t>
        </r>
      </text>
    </comment>
    <comment ref="B48" authorId="0">
      <text>
        <r>
          <rPr>
            <sz val="9"/>
            <color indexed="81"/>
            <rFont val="Tahoma"/>
            <family val="2"/>
          </rPr>
          <t>asthma cases are used as a proxy for the acute decreased lung capacity at episodes of exposure to high particle concentration</t>
        </r>
      </text>
    </comment>
    <comment ref="E48" authorId="0">
      <text>
        <r>
          <rPr>
            <sz val="9"/>
            <color indexed="81"/>
            <rFont val="Tahoma"/>
            <family val="2"/>
          </rPr>
          <t>Nitrates contribute with 11% to the PM2.5 mass</t>
        </r>
      </text>
    </comment>
    <comment ref="F48" authorId="0">
      <text>
        <r>
          <rPr>
            <sz val="9"/>
            <color indexed="81"/>
            <rFont val="Tahoma"/>
            <family val="2"/>
          </rPr>
          <t>There is a large uncertainty about how much nitrate aerosols contribute to the extension of the total effect.</t>
        </r>
      </text>
    </comment>
    <comment ref="G48" authorId="0">
      <text>
        <r>
          <rPr>
            <sz val="9"/>
            <color indexed="81"/>
            <rFont val="Tahoma"/>
            <family val="2"/>
          </rPr>
          <t xml:space="preserve">Global emissions of Nox as N is 3.72E+04 Gg (Table 8.SM.19). </t>
        </r>
      </text>
    </comment>
    <comment ref="H48" authorId="0">
      <text>
        <r>
          <rPr>
            <sz val="9"/>
            <color indexed="81"/>
            <rFont val="Tahoma"/>
            <family val="2"/>
          </rPr>
          <t xml:space="preserve">The formation  rate of particles indicate that it is regional scale of the exposure, which means that the exact location of the source become less important.
</t>
        </r>
      </text>
    </comment>
    <comment ref="E49" authorId="0">
      <text>
        <r>
          <rPr>
            <sz val="9"/>
            <color indexed="81"/>
            <rFont val="Tahoma"/>
            <family val="2"/>
          </rPr>
          <t>Nitrates contribute with 11% to the PM2.5 mass</t>
        </r>
      </text>
    </comment>
    <comment ref="F49" authorId="0">
      <text>
        <r>
          <rPr>
            <sz val="9"/>
            <color indexed="81"/>
            <rFont val="Tahoma"/>
            <family val="2"/>
          </rPr>
          <t>There is a large uncertainty about how much nitrate aerosols contribute to the extension of the total effect.</t>
        </r>
      </text>
    </comment>
    <comment ref="G49" authorId="0">
      <text>
        <r>
          <rPr>
            <sz val="9"/>
            <color indexed="81"/>
            <rFont val="Tahoma"/>
            <family val="2"/>
          </rPr>
          <t xml:space="preserve">Global emissions of Nox as N is 3.72E+04 Gg (Table 8.SM.19). </t>
        </r>
      </text>
    </comment>
    <comment ref="G50" authorId="0">
      <text>
        <r>
          <rPr>
            <sz val="9"/>
            <color indexed="81"/>
            <rFont val="Tahoma"/>
            <family val="2"/>
          </rPr>
          <t xml:space="preserve">GWP100 including primary  effects from aerosols included (Table 8.A.3 in AR5, WGI)
</t>
        </r>
      </text>
    </comment>
    <comment ref="H50" authorId="0">
      <text>
        <r>
          <rPr>
            <sz val="9"/>
            <color indexed="81"/>
            <rFont val="Tahoma"/>
            <family val="2"/>
          </rPr>
          <t xml:space="preserve">Table 8.A.3, AR5, WG1
</t>
        </r>
      </text>
    </comment>
    <comment ref="G51" authorId="0">
      <text>
        <r>
          <rPr>
            <sz val="9"/>
            <color indexed="81"/>
            <rFont val="Tahoma"/>
            <family val="2"/>
          </rPr>
          <t xml:space="preserve">GWP100 including primary  effects from aerosols included (Table 8.A.3 in AR5, WGI)
</t>
        </r>
      </text>
    </comment>
    <comment ref="H51" authorId="0">
      <text>
        <r>
          <rPr>
            <sz val="9"/>
            <color indexed="81"/>
            <rFont val="Tahoma"/>
            <family val="2"/>
          </rPr>
          <t xml:space="preserve">Table 8.A.3, AR5, WG1
</t>
        </r>
      </text>
    </comment>
    <comment ref="G52" authorId="0">
      <text>
        <r>
          <rPr>
            <sz val="9"/>
            <color indexed="81"/>
            <rFont val="Tahoma"/>
            <family val="2"/>
          </rPr>
          <t xml:space="preserve">GWP100 including primary  effects from aerosols included (Table 8.A.3 in AR5, WGI)
</t>
        </r>
      </text>
    </comment>
    <comment ref="H52" authorId="0">
      <text>
        <r>
          <rPr>
            <sz val="9"/>
            <color indexed="81"/>
            <rFont val="Tahoma"/>
            <family val="2"/>
          </rPr>
          <t xml:space="preserve">Table 8.A.3, AR5, WG1
</t>
        </r>
      </text>
    </comment>
    <comment ref="E53" authorId="0">
      <text>
        <r>
          <rPr>
            <sz val="9"/>
            <color indexed="81"/>
            <rFont val="Tahoma"/>
            <family val="2"/>
          </rPr>
          <t>Van Dingenen et al. (Atmospheric Environment 43 (2009) 604–618) estimate the global loss of agricultural crop the year 2000 due to ozone to between 45 and 82 million metric tons of wheat, and 17–23 million metric tons  for rice, maize and soybean. Avnery et.al (Atmospheric Environment 45 (2011) 2284-2296) estimated the global crop loss to between 79 and 121 million metric tons.  A best estimate of 90 million tons is used and an uncertainty factor of 1.5.</t>
        </r>
      </text>
    </comment>
    <comment ref="G53" authorId="0">
      <text>
        <r>
          <rPr>
            <sz val="9"/>
            <color indexed="81"/>
            <rFont val="Tahoma"/>
            <family val="2"/>
          </rPr>
          <t xml:space="preserve">Global emissions of Nox as N is 3.72E+04 Gg (Table 8.SM.19). </t>
        </r>
      </text>
    </comment>
    <comment ref="G54" authorId="0">
      <text>
        <r>
          <rPr>
            <sz val="9"/>
            <color indexed="81"/>
            <rFont val="Tahoma"/>
            <family val="2"/>
          </rPr>
          <t xml:space="preserve">GWP100 including primary  effects from aerosols included (Table 8.A.3 in AR5, WGI)
</t>
        </r>
      </text>
    </comment>
    <comment ref="H54" authorId="0">
      <text>
        <r>
          <rPr>
            <sz val="9"/>
            <color indexed="81"/>
            <rFont val="Tahoma"/>
            <family val="2"/>
          </rPr>
          <t xml:space="preserve">Table 8.A.3, AR5, WG1
</t>
        </r>
      </text>
    </comment>
    <comment ref="G55" authorId="0">
      <text>
        <r>
          <rPr>
            <sz val="9"/>
            <color indexed="81"/>
            <rFont val="Tahoma"/>
            <family val="2"/>
          </rPr>
          <t xml:space="preserve">GWP100 including primary  effects from aerosols included (Table 8.A.3 in AR5, WGI)
</t>
        </r>
      </text>
    </comment>
    <comment ref="H55" authorId="0">
      <text>
        <r>
          <rPr>
            <sz val="9"/>
            <color indexed="81"/>
            <rFont val="Tahoma"/>
            <family val="2"/>
          </rPr>
          <t xml:space="preserve">Table 8.A.3, AR5, WG1
</t>
        </r>
      </text>
    </comment>
    <comment ref="G56" authorId="0">
      <text>
        <r>
          <rPr>
            <sz val="9"/>
            <color indexed="81"/>
            <rFont val="Tahoma"/>
            <family val="2"/>
          </rPr>
          <t xml:space="preserve">GWP100 including primary  effects from aerosols included (Table 8.A.3 in AR5, WGI)
</t>
        </r>
      </text>
    </comment>
    <comment ref="H56" authorId="0">
      <text>
        <r>
          <rPr>
            <sz val="9"/>
            <color indexed="81"/>
            <rFont val="Tahoma"/>
            <family val="2"/>
          </rPr>
          <t xml:space="preserve">Table 8.A.3, AR5, WG1
</t>
        </r>
      </text>
    </comment>
    <comment ref="D57" authorId="0">
      <text>
        <r>
          <rPr>
            <sz val="9"/>
            <color indexed="81"/>
            <rFont val="Tahoma"/>
            <family val="2"/>
          </rPr>
          <t>in coastal waters</t>
        </r>
        <r>
          <rPr>
            <sz val="9"/>
            <color indexed="81"/>
            <rFont val="Tahoma"/>
            <family val="2"/>
          </rPr>
          <t xml:space="preserve">
</t>
        </r>
      </text>
    </comment>
    <comment ref="E57" authorId="0">
      <text>
        <r>
          <rPr>
            <sz val="9"/>
            <color indexed="81"/>
            <rFont val="Tahoma"/>
            <family val="2"/>
          </rPr>
          <t>According to Diaz and Rosenberg (Science 15 August 2008: Vol. 321 no. 5891 pp. 926-929), dead zones cover 245 000 km2. A typical production rate of 10 kg/ha, year will give a total loss of 2.45E8 kg/year. FAO has recommended that the global catch should level out at 100 million tons in order for fishing to be sustainable. This corresponds to about 3 kg per ha if all ocean and sea areas are counted. Assuming 10 kg/ha for production and  fishing at continental shelfs maly thus be of a resonable order.</t>
        </r>
      </text>
    </comment>
    <comment ref="F57" authorId="0">
      <text>
        <r>
          <rPr>
            <sz val="9"/>
            <color indexed="81"/>
            <rFont val="Tahoma"/>
            <family val="2"/>
          </rPr>
          <t>There is no concideration in the model of temporal and spatial variations. All the water body is assumed to be dead, in the dead zones. There is further no considearation of impacts outside the dead zones. The bioproductivity is also uncertain. 
therefore a standard deviation of a factor of 3 is assumed</t>
        </r>
      </text>
    </comment>
    <comment ref="G57" authorId="0">
      <text>
        <r>
          <rPr>
            <sz val="9"/>
            <color indexed="81"/>
            <rFont val="Tahoma"/>
            <family val="2"/>
          </rPr>
          <t xml:space="preserve">Global emissions of Nox as N is estimated to 3.72E+04 Gg in AR5 (Table 8.SM.19). According to Galloway, J. N. et al. Nitrogen cycles: past, present, future. Biogeochemistry 70, 153–226
(2004). the anthropogenic deposition of NOx to marine areas is 21 Tg N/year and 18 Tg for NH3  fro the year 1990.  About half of the global emission of NOx is deposited in oceans. The export from rivers to coastal areas is estimated to 47.8 Tg N/year. (F. Dentener et al. Nitrogen and sulfur deposition on regional and global scales: A multimodel evaluation, GLOBAL BIOGEOCHEMICAL CYCLES, VOL. 20, GB4003, doi:10.1029/2005GB002672, 2006). The emissions of BOD is estimated to 0.83 Tg Neq/yr. (see estimation for BOD to seawater)  This means that about 21/(21+18+47.8 +0.83) = 0.24 of the emitted NOX can contribute to dead zones.
</t>
        </r>
      </text>
    </comment>
    <comment ref="E58" authorId="0">
      <text>
        <r>
          <rPr>
            <sz val="9"/>
            <color indexed="81"/>
            <rFont val="Tahoma"/>
            <family val="2"/>
          </rPr>
          <t xml:space="preserve"> FAO has recommended that the global catch should level out at 100 million tons in order for fishing to be sustainable. The global deposition of Nox to oceans is abput 40 Tg/year. In the upper 100 meters, this will contribute to a 0.123% increase of reactive nitrogen. (the ocean area is 360 million km2, the average concentration of reactive nitrogen is 0.9 g/m3 and the added contentration from atmospheric deposition is 0,00111 g/m3 in the upper 100 m) It is here assumed that the increase in fish catch is propotional to nitrogen availability, as nitrogen is rate limiting. (this is a rough simplification as many other factors determine which catch is available)</t>
        </r>
      </text>
    </comment>
    <comment ref="F58" authorId="0">
      <text>
        <r>
          <rPr>
            <sz val="9"/>
            <color indexed="81"/>
            <rFont val="Tahoma"/>
            <family val="2"/>
          </rPr>
          <t xml:space="preserve">The growth model is very simplistic.
</t>
        </r>
      </text>
    </comment>
    <comment ref="E59" authorId="0">
      <text>
        <r>
          <rPr>
            <sz val="9"/>
            <color indexed="81"/>
            <rFont val="Tahoma"/>
            <family val="2"/>
          </rPr>
          <t xml:space="preserve">A rough estimation of decrease of fish production may be based on an estimation of land areas where the critical load are exceeded (10%) and on the total fresh water catch of fish (10 million tons annually, globally as estimated by FAO). Only a part of the lakes in a region with excess sulphur deposition is acidified, normally those that are small and in the most upstream regions. A rough guess is that 20% of the lake area in regions where the critical load is exceeded is acidified to an extent that no fish is reproduced. This will correspond to a loss of 200 000 ton of fish annually.
</t>
        </r>
      </text>
    </comment>
    <comment ref="G59" authorId="0">
      <text>
        <r>
          <rPr>
            <sz val="9"/>
            <color indexed="81"/>
            <rFont val="Tahoma"/>
            <family val="2"/>
          </rPr>
          <t xml:space="preserve">As SOx also is a cause of lake acidification, the contribution from Nox should not be 100%. As the global emission of SOx is 1.25E5 Gg (AR5, WGII, Table SM 8.19), which results in 1.25E5/64*2 = 3910 Gmoles of H+, compared to the = 2660 Gmoles H+ from Nox, an approximate estimate is that i kg NOx contributes with 1/3.72E10*2660/(2660+3910) </t>
        </r>
      </text>
    </comment>
    <comment ref="E60" authorId="0">
      <text>
        <r>
          <rPr>
            <sz val="9"/>
            <color indexed="81"/>
            <rFont val="Tahoma"/>
            <family val="2"/>
          </rPr>
          <t>The decline in growth in Pine and Hardwood is around 1-2% at 0,015 increased ozone concentrations when the total concentration is in the range 0.05-0.06 ppm, which is most common in rural areas. ( PETER B. REICH, Quantifying plant response to ozone: a unifying theory, Tree Physiology 3, 63-91 (1987)). The global average ozone concentration is estimated to have increased by about 15 ppb since 1850 (Stevenson et al. Atmos. Chem. Phys., 13, 3063–3085, 2013). The global wood production is estimated to approximately 1.5E12 kg/year. (The industrial wood consumption is 1.6E9 m3 according to FAO 2006). The deccrease in wood production due to ozone is therefore etimated to 0.015*1.5E12 kg</t>
        </r>
      </text>
    </comment>
    <comment ref="G60" authorId="0">
      <text>
        <r>
          <rPr>
            <sz val="9"/>
            <color indexed="81"/>
            <rFont val="Tahoma"/>
            <family val="2"/>
          </rPr>
          <t>Global emissions of Nox as N is 3.72E+04 Gg (Table 8.SM.19). Nox contributes to about 31 % of the antropogenic ozone produced. Stevenson et al (Tropospheric ozone changes, radiative forcing and attribution to emissions in the Atmospheric Chemistry and Climate Model Intercomparison Project (ACCMIP), Atmos. Chem. Phys., 13, 3063-3085, 2013). The net contribution is therefore 1/(3.72E10/14*46)*0.31 kg</t>
        </r>
      </text>
    </comment>
    <comment ref="E61" authorId="0">
      <text>
        <r>
          <rPr>
            <sz val="9"/>
            <color indexed="81"/>
            <rFont val="Tahoma"/>
            <family val="2"/>
          </rPr>
          <t>Nitrogen is a rate limiting factor for wood growth in a large part of the world.
About 40% of the land area in the temperate regions arearea in the temperate regions is covered with forests, and about 50% of the emissions of NOx are assumed to deposit on land areas. Most of the global emissions are estimated to origin in temperate regions. As half of the N is used by the trees in the wood structure (ratio experienced when fertilising with calcium ammonium nitrate), as 11% of the forests have nitrogen deposition above the critical load (), and as the wood consists of 1% N, (on dry basis),  1 kg NOx will result in 0.4*0.5*0.5*(1-0.11)*14/46*100 =2.71 kg wood.</t>
        </r>
      </text>
    </comment>
    <comment ref="G62" authorId="0">
      <text>
        <r>
          <rPr>
            <sz val="9"/>
            <color indexed="81"/>
            <rFont val="Tahoma"/>
            <family val="2"/>
          </rPr>
          <t xml:space="preserve">GWP100 including primary  effects from aerosols included (Table 8.A.3 in AR5, WGI)
</t>
        </r>
      </text>
    </comment>
    <comment ref="H62" authorId="0">
      <text>
        <r>
          <rPr>
            <sz val="9"/>
            <color indexed="81"/>
            <rFont val="Tahoma"/>
            <family val="2"/>
          </rPr>
          <t xml:space="preserve">Table 8.A.3, AR5, WG1
</t>
        </r>
      </text>
    </comment>
    <comment ref="G63" authorId="0">
      <text>
        <r>
          <rPr>
            <sz val="9"/>
            <color indexed="81"/>
            <rFont val="Tahoma"/>
            <family val="2"/>
          </rPr>
          <t xml:space="preserve">GWP100 including primary  effects from aerosols included (Table 8.A.3 in AR5, WGI)
</t>
        </r>
      </text>
    </comment>
    <comment ref="H63" authorId="0">
      <text>
        <r>
          <rPr>
            <sz val="9"/>
            <color indexed="81"/>
            <rFont val="Tahoma"/>
            <family val="2"/>
          </rPr>
          <t xml:space="preserve">Table 8.A.3, AR5, WG1
</t>
        </r>
      </text>
    </comment>
    <comment ref="G64" authorId="0">
      <text>
        <r>
          <rPr>
            <sz val="9"/>
            <color indexed="81"/>
            <rFont val="Tahoma"/>
            <family val="2"/>
          </rPr>
          <t xml:space="preserve">GWP100 including primary  effects from aerosols included (Table 8.A.3 in AR5, WGI)
</t>
        </r>
      </text>
    </comment>
    <comment ref="H64" authorId="0">
      <text>
        <r>
          <rPr>
            <sz val="9"/>
            <color indexed="81"/>
            <rFont val="Tahoma"/>
            <family val="2"/>
          </rPr>
          <t xml:space="preserve">Table 8.A.3, AR5, WG1
</t>
        </r>
      </text>
    </comment>
    <comment ref="G65" authorId="0">
      <text>
        <r>
          <rPr>
            <sz val="9"/>
            <color indexed="81"/>
            <rFont val="Tahoma"/>
            <family val="2"/>
          </rPr>
          <t xml:space="preserve">GWP100 including primary  effects from aerosols included (Table 8.A.3 in AR5, WGI)
</t>
        </r>
      </text>
    </comment>
    <comment ref="H65" authorId="0">
      <text>
        <r>
          <rPr>
            <sz val="9"/>
            <color indexed="81"/>
            <rFont val="Tahoma"/>
            <family val="2"/>
          </rPr>
          <t xml:space="preserve">Table 8.A.3, AR5, WG1
</t>
        </r>
      </text>
    </comment>
    <comment ref="G66" authorId="0">
      <text>
        <r>
          <rPr>
            <sz val="9"/>
            <color indexed="81"/>
            <rFont val="Tahoma"/>
            <family val="2"/>
          </rPr>
          <t xml:space="preserve">GWP100 including primary  effects from aerosols included (Table 8.A.3 in AR5, WGI)
</t>
        </r>
      </text>
    </comment>
    <comment ref="H66" authorId="0">
      <text>
        <r>
          <rPr>
            <sz val="9"/>
            <color indexed="81"/>
            <rFont val="Tahoma"/>
            <family val="2"/>
          </rPr>
          <t xml:space="preserve">Table 8.A.3, AR5, WG1
</t>
        </r>
      </text>
    </comment>
    <comment ref="G67" authorId="0">
      <text>
        <r>
          <rPr>
            <sz val="9"/>
            <color indexed="81"/>
            <rFont val="Tahoma"/>
            <family val="2"/>
          </rPr>
          <t xml:space="preserve">GWP100 including primary  effects from aerosols included (Table 8.A.3 in AR5, WGI)
</t>
        </r>
      </text>
    </comment>
    <comment ref="H67" authorId="0">
      <text>
        <r>
          <rPr>
            <sz val="9"/>
            <color indexed="81"/>
            <rFont val="Tahoma"/>
            <family val="2"/>
          </rPr>
          <t xml:space="preserve">Table 8.A.3, AR5, WG1
</t>
        </r>
      </text>
    </comment>
    <comment ref="G68" authorId="0">
      <text>
        <r>
          <rPr>
            <sz val="9"/>
            <color indexed="81"/>
            <rFont val="Tahoma"/>
            <family val="2"/>
          </rPr>
          <t xml:space="preserve">GWP100 including primary  effects from aerosols included (Table 8.A.3 in AR5, WGI)
</t>
        </r>
      </text>
    </comment>
    <comment ref="H68" authorId="0">
      <text>
        <r>
          <rPr>
            <sz val="9"/>
            <color indexed="81"/>
            <rFont val="Tahoma"/>
            <family val="2"/>
          </rPr>
          <t xml:space="preserve">Table 8.A.3, AR5, WG1
</t>
        </r>
      </text>
    </comment>
    <comment ref="E69" authorId="0">
      <text>
        <r>
          <rPr>
            <sz val="9"/>
            <color indexed="81"/>
            <rFont val="Tahoma"/>
            <family val="2"/>
          </rPr>
          <t xml:space="preserve">IUCN redlist http://www.iucnredlist.org/search, accessed at 15 October 2014. The share of species threatened by agricultural and forestry effluents in aquatic environments is 0.007.  </t>
        </r>
      </text>
    </comment>
    <comment ref="G69" authorId="0">
      <text>
        <r>
          <rPr>
            <sz val="9"/>
            <color indexed="81"/>
            <rFont val="Tahoma"/>
            <family val="2"/>
          </rPr>
          <t xml:space="preserve">Global emissions of Nox as N is estimated to 3.72E+04 Gg in AR5 (Table 8.SM.19). According to Galloway, J. N. et al. Nitrogen cycles: past, present, future. Biogeochemistry 70, 153–226
(2004). the anthropogenic deposition of NOx to marine areas is 21 Tg N/year and 18 Tg for NH3  fro the year 1990.  About half of the global emission of NOx is deposited in oceans. The export from rivers to coastal areas is estimated to 47.8 Tg N/year. (F. Dentener et al. Nitrogen and sulfur deposition on regional and global scales: A multimodel evaluation, GLOBAL BIOGEOCHEMICAL CYCLES, VOL. 20, GB4003, doi:10.1029/2005GB002672, 2006). This means that aboit 21/(21+18+47.8) = 0.24 of the emitted NOX can contribute to dead zones.
</t>
        </r>
      </text>
    </comment>
    <comment ref="G75" authorId="0">
      <text>
        <r>
          <rPr>
            <sz val="9"/>
            <color indexed="81"/>
            <rFont val="Tahoma"/>
            <family val="2"/>
          </rPr>
          <t xml:space="preserve">GWP 100 for N2O (Table 8.SM.17 in AR5 WGI, Chapter 8 )
</t>
        </r>
      </text>
    </comment>
    <comment ref="H75" authorId="0">
      <text>
        <r>
          <rPr>
            <sz val="9"/>
            <color indexed="81"/>
            <rFont val="Tahoma"/>
            <family val="2"/>
          </rPr>
          <t xml:space="preserve">Table 8.SM.14, AR5, WG1
</t>
        </r>
      </text>
    </comment>
    <comment ref="F76" authorId="0">
      <text>
        <r>
          <rPr>
            <sz val="9"/>
            <color indexed="81"/>
            <rFont val="Tahoma"/>
            <family val="2"/>
          </rPr>
          <t xml:space="preserve">There is an uncertainty in future emission scenarios, and in how peaple will protect themselves
</t>
        </r>
      </text>
    </comment>
    <comment ref="G76" authorId="0">
      <text>
        <r>
          <rPr>
            <sz val="9"/>
            <color indexed="81"/>
            <rFont val="Tahoma"/>
            <family val="2"/>
          </rPr>
          <t xml:space="preserve">ODP according to Ravishankara et al. (2009)
</t>
        </r>
      </text>
    </comment>
    <comment ref="G77" authorId="0">
      <text>
        <r>
          <rPr>
            <sz val="9"/>
            <color indexed="81"/>
            <rFont val="Tahoma"/>
            <family val="2"/>
          </rPr>
          <t xml:space="preserve">GWP 100 for N2O (Table 8.SM.17 in AR5 WGI, Chapter 8 )
</t>
        </r>
      </text>
    </comment>
    <comment ref="G78" authorId="0">
      <text>
        <r>
          <rPr>
            <sz val="9"/>
            <color indexed="81"/>
            <rFont val="Tahoma"/>
            <family val="2"/>
          </rPr>
          <t xml:space="preserve">GWP 100 for N2O (Table 8.SM.17 in AR5 WGI, Chapter 8 )
</t>
        </r>
      </text>
    </comment>
    <comment ref="G79" authorId="0">
      <text>
        <r>
          <rPr>
            <sz val="9"/>
            <color indexed="81"/>
            <rFont val="Tahoma"/>
            <family val="2"/>
          </rPr>
          <t xml:space="preserve">GWP 100 for N2O (Table 8.SM.17 in AR5 WGI, Chapter 8 )
</t>
        </r>
      </text>
    </comment>
    <comment ref="G80" authorId="0">
      <text>
        <r>
          <rPr>
            <sz val="9"/>
            <color indexed="81"/>
            <rFont val="Tahoma"/>
            <family val="2"/>
          </rPr>
          <t xml:space="preserve">GWP 100 for N2O (Table 8.SM.17 in AR5 WGI, Chapter 8 )
</t>
        </r>
      </text>
    </comment>
    <comment ref="G81" authorId="0">
      <text>
        <r>
          <rPr>
            <sz val="9"/>
            <color indexed="81"/>
            <rFont val="Tahoma"/>
            <family val="2"/>
          </rPr>
          <t xml:space="preserve">GWP 100 for N2O (Table 8.SM.17 in AR5 WGI, Chapter 8 )
</t>
        </r>
      </text>
    </comment>
    <comment ref="G82" authorId="0">
      <text>
        <r>
          <rPr>
            <sz val="9"/>
            <color indexed="81"/>
            <rFont val="Tahoma"/>
            <family val="2"/>
          </rPr>
          <t xml:space="preserve">GWP 100 for N2O (Table 8.SM.17 in AR5 WGI, Chapter 8 )
</t>
        </r>
      </text>
    </comment>
    <comment ref="G83" authorId="0">
      <text>
        <r>
          <rPr>
            <sz val="9"/>
            <color indexed="81"/>
            <rFont val="Tahoma"/>
            <family val="2"/>
          </rPr>
          <t xml:space="preserve">GWP 100 for N2O (Table 8.SM.17 in AR5 WGI, Chapter 8 )
</t>
        </r>
      </text>
    </comment>
    <comment ref="G84" authorId="0">
      <text>
        <r>
          <rPr>
            <sz val="9"/>
            <color indexed="81"/>
            <rFont val="Tahoma"/>
            <family val="2"/>
          </rPr>
          <t xml:space="preserve">GWP 100 for N2O (Table 8.SM.17 in AR5 WGI, Chapter 8 )
</t>
        </r>
      </text>
    </comment>
    <comment ref="G85" authorId="0">
      <text>
        <r>
          <rPr>
            <sz val="9"/>
            <color indexed="81"/>
            <rFont val="Tahoma"/>
            <family val="2"/>
          </rPr>
          <t xml:space="preserve">GWP 100 for N2O (Table 8.SM.17 in AR5 WGI, Chapter 8 )
</t>
        </r>
      </text>
    </comment>
    <comment ref="G86" authorId="0">
      <text>
        <r>
          <rPr>
            <sz val="9"/>
            <color indexed="81"/>
            <rFont val="Tahoma"/>
            <family val="2"/>
          </rPr>
          <t xml:space="preserve">GWP 100 for N2O (Table 8.SM.17 in AR5 WGI, Chapter 8 )
</t>
        </r>
      </text>
    </comment>
    <comment ref="G87" authorId="0">
      <text>
        <r>
          <rPr>
            <sz val="9"/>
            <color indexed="81"/>
            <rFont val="Tahoma"/>
            <family val="2"/>
          </rPr>
          <t xml:space="preserve">GWP 100 for N2O (Table 8.SM.17 in AR5 WGI, Chapter 8 )
</t>
        </r>
      </text>
    </comment>
    <comment ref="G88" authorId="0">
      <text>
        <r>
          <rPr>
            <sz val="9"/>
            <color indexed="81"/>
            <rFont val="Tahoma"/>
            <family val="2"/>
          </rPr>
          <t xml:space="preserve">GWP 100 for N2O (Table 8.SM.17 in AR5 WGI, Chapter 8 )
</t>
        </r>
      </text>
    </comment>
    <comment ref="G89" authorId="0">
      <text>
        <r>
          <rPr>
            <sz val="9"/>
            <color indexed="81"/>
            <rFont val="Tahoma"/>
            <family val="2"/>
          </rPr>
          <t xml:space="preserve">GWP 100 for N2O (Table 8.SM.17 in AR5 WGI, Chapter 8 )
</t>
        </r>
      </text>
    </comment>
    <comment ref="E92" authorId="0">
      <text>
        <r>
          <rPr>
            <sz val="9"/>
            <color indexed="81"/>
            <rFont val="Tahoma"/>
            <family val="2"/>
          </rPr>
          <t>The dose-respons for mortality due to SO2 exposure is estimated to + 0.6% per 10 μg/m3 (24 hour mean); (Committee on the Medical Effects of Air Pollution (COMEAP) Report: the Quantification of the Effects of Air Pollution on
Health in the United Kingdom 1998. London:UK Department of Health, 1998). No treshold is found so it is assumed here that the dose-respons curve is linear, why it is applicable also to yeraly averages. The average annual urban population exposure to SO2 was determined to 30 μg/m3 for the European region by WHO regional office 1997. The interest on SO2 exposure has decrease since then, and no new assessments have been found. 
So, this figure will be used for the global urban population, which was 51,6% 2010 (UN). The lost life expectancy per case of premature death is estimated to be the same as for heat stroke, 1 month, as it has a similar health effect for persons with cardiovascular deseases. The total YOLLs due to SO2-exposure is therefore estimated to 0.006*30/10*0.516*7200000000/75, where 75 is an estimated average life expectancy</t>
        </r>
      </text>
    </comment>
    <comment ref="G92" authorId="0">
      <text>
        <r>
          <rPr>
            <sz val="9"/>
            <color indexed="81"/>
            <rFont val="Tahoma"/>
            <family val="2"/>
          </rPr>
          <t xml:space="preserve">The global emission of SO2 is estimated to 101 Tg 2005. This figure is extrapolated from the trend since 2000 to 110 Tg for 2010 (the EDGAR-HTAP_V1 database
for the period 2000-2005).
</t>
        </r>
      </text>
    </comment>
    <comment ref="H92" authorId="0">
      <text>
        <r>
          <rPr>
            <sz val="9"/>
            <color indexed="81"/>
            <rFont val="Tahoma"/>
            <family val="2"/>
          </rPr>
          <t xml:space="preserve">Local variations in exposure
</t>
        </r>
      </text>
    </comment>
    <comment ref="E93" authorId="0">
      <text>
        <r>
          <rPr>
            <sz val="9"/>
            <color indexed="81"/>
            <rFont val="Tahoma"/>
            <family val="2"/>
          </rPr>
          <t>There is no strong indicatios of health effects of sulphate and nitrate particles in air (Inhal Toxicol. 2007 May;19(5):419-49. Evidence of health impacts of sulfate-and nitrate-containing particles in ambient air. Reiss R1, Anderson EL, Cross CE, Hidy G, Hoel D, McClellan R, Moolgavkar S.)
Only climate change impacts are included.</t>
        </r>
      </text>
    </comment>
    <comment ref="G93" authorId="0">
      <text>
        <r>
          <rPr>
            <sz val="9"/>
            <color indexed="81"/>
            <rFont val="Tahoma"/>
            <family val="2"/>
          </rPr>
          <t>About half of the SO2 emitted is transfomed to sulphate particles. P. J. CRUTZEN, Climatic Change (2006) 77: 211–219. This gives a particle forrmation potential of 0.5*96/64 = 0.75.</t>
        </r>
      </text>
    </comment>
    <comment ref="B95" authorId="0">
      <text>
        <r>
          <rPr>
            <sz val="9"/>
            <color indexed="81"/>
            <rFont val="Tahoma"/>
            <family val="2"/>
          </rPr>
          <t>asthma cases are used as a proxy for the acute decreased lung capacity at episodes of exposure to high particle concentration</t>
        </r>
      </text>
    </comment>
    <comment ref="G95" authorId="0">
      <text>
        <r>
          <rPr>
            <sz val="9"/>
            <color indexed="81"/>
            <rFont val="Tahoma"/>
            <family val="2"/>
          </rPr>
          <t>About half of the SO2 emitted is transfomed to sulphate particles. P. J. CRUTZEN, Climatic Change (2006) 77: 211–219. This gives a particle forrmation potential of 0.5*96/64</t>
        </r>
      </text>
    </comment>
    <comment ref="B96" authorId="0">
      <text>
        <r>
          <rPr>
            <sz val="9"/>
            <color indexed="81"/>
            <rFont val="Tahoma"/>
            <family val="2"/>
          </rPr>
          <t>asthma cases are used as a proxy for the acute decreased lung capacity at episodes of exposure to high particle concentration</t>
        </r>
      </text>
    </comment>
    <comment ref="E96" authorId="0">
      <text>
        <r>
          <rPr>
            <sz val="9"/>
            <color indexed="81"/>
            <rFont val="Tahoma"/>
            <family val="2"/>
          </rPr>
          <t>The dose-respons for hospitalisation due to SO2 exposure is estimated to + 0.5% per 10 μg/m3 (24 hour mean); (Committee on the Medical Effects of Air Pollution (COMEAP) Report: the Quantification of the Effects of Air Pollution on
Health in the United Kingdom 1998. London:UK Department of Health, 1998). No treshold is found so it is assumed here that the dose-respons curve is linear, why it is applicable also to yeraly averages. The average annual urban population exposure to SO2 was determined to 30 μg/m3 for the European region by WHO regional office 1997. The interest on SO2 exposure has decrease since then, and no new assessments have been found. 
So, this figure will be used for the global urban population, which was 51,6% 2010 (UN). The time for hospitalisation is estimated to be a few days (3). The total personyears of respiratory impacts due to SO2-exposure is therefore estimated to 0.005*30/10*0.516*7200000000*0.01*3/365, where 0.01 is the baseline rate of hospital admission per year. (The same reference from COMEAP as above)</t>
        </r>
      </text>
    </comment>
    <comment ref="G96" authorId="0">
      <text>
        <r>
          <rPr>
            <sz val="9"/>
            <color indexed="81"/>
            <rFont val="Tahoma"/>
            <family val="2"/>
          </rPr>
          <t xml:space="preserve">The global emission of SO2 is estimated to 101 Tg 2005. This figure is extrapolated from the trend since 2000 to 110 Tg for 2010 (the EDGAR-HTAP_V1 database
for the period 2000-2005).
</t>
        </r>
      </text>
    </comment>
    <comment ref="E97" authorId="0">
      <text>
        <r>
          <rPr>
            <sz val="9"/>
            <color indexed="81"/>
            <rFont val="Tahoma"/>
            <family val="2"/>
          </rPr>
          <t xml:space="preserve">A rough estimation of decrease of fish production may be based on an estimation of land areas where the critical load are exceeded (10%) and on the total fresh water catch of fish (10 million tons annually, globally as estimated by FAO). Only a part of the lakes in a region with excess sulphur deposition is acidified, normally those that are small and in the most upstream regions. A rough guess is that 20% of the lake area in regions where the critical load is exceeded is acidified to an extent that no fish is reproduced. This will correspond to a loss of 200 000 ton of fish annually.
</t>
        </r>
      </text>
    </comment>
    <comment ref="F97" authorId="0">
      <text>
        <r>
          <rPr>
            <sz val="9"/>
            <color indexed="81"/>
            <rFont val="Tahoma"/>
            <family val="2"/>
          </rPr>
          <t xml:space="preserve">Some areas are well monitored, others not
</t>
        </r>
      </text>
    </comment>
    <comment ref="G97" authorId="0">
      <text>
        <r>
          <rPr>
            <sz val="9"/>
            <color indexed="81"/>
            <rFont val="Tahoma"/>
            <family val="2"/>
          </rPr>
          <t xml:space="preserve">The global emission of SO2 is estimated to 101 Tg 2005. This figure is extrapolated from the trend since 2000 to 110 Tg for 2010 (the EDGAR-HTAP_V1 database
for the period 2000-2005).
</t>
        </r>
      </text>
    </comment>
    <comment ref="H97" authorId="0">
      <text>
        <r>
          <rPr>
            <sz val="9"/>
            <color indexed="81"/>
            <rFont val="Tahoma"/>
            <family val="2"/>
          </rPr>
          <t xml:space="preserve">There is a large variation of sensitivity to acidification between different regions
</t>
        </r>
      </text>
    </comment>
    <comment ref="G98" authorId="0">
      <text>
        <r>
          <rPr>
            <sz val="9"/>
            <color indexed="81"/>
            <rFont val="Tahoma"/>
            <family val="2"/>
          </rPr>
          <t xml:space="preserve">GWP100 for SO2 is –38.4 according to AR5 WGI,  Table 8.SM.17
</t>
        </r>
      </text>
    </comment>
    <comment ref="H98" authorId="0">
      <text>
        <r>
          <rPr>
            <sz val="9"/>
            <color indexed="81"/>
            <rFont val="Tahoma"/>
            <family val="2"/>
          </rPr>
          <t xml:space="preserve">similar as for Nox
</t>
        </r>
      </text>
    </comment>
    <comment ref="G99" authorId="0">
      <text>
        <r>
          <rPr>
            <sz val="9"/>
            <color indexed="81"/>
            <rFont val="Tahoma"/>
            <family val="2"/>
          </rPr>
          <t xml:space="preserve">GWP100 for SO2 is –38.4 according to AR5 WGI,  Table 8.SM.17
</t>
        </r>
      </text>
    </comment>
    <comment ref="G100" authorId="0">
      <text>
        <r>
          <rPr>
            <sz val="9"/>
            <color indexed="81"/>
            <rFont val="Tahoma"/>
            <family val="2"/>
          </rPr>
          <t xml:space="preserve">GWP100 for SO2 is –38.4 according to AR5 WGI,  Table 8.SM.17
</t>
        </r>
      </text>
    </comment>
    <comment ref="G101" authorId="0">
      <text>
        <r>
          <rPr>
            <sz val="9"/>
            <color indexed="81"/>
            <rFont val="Tahoma"/>
            <family val="2"/>
          </rPr>
          <t xml:space="preserve">GWP100 for SO2 is –38.4 according to AR5 WGI,  Table 8.SM.17
</t>
        </r>
      </text>
    </comment>
    <comment ref="G102" authorId="0">
      <text>
        <r>
          <rPr>
            <sz val="9"/>
            <color indexed="81"/>
            <rFont val="Tahoma"/>
            <family val="2"/>
          </rPr>
          <t xml:space="preserve">GWP100 for SO2 is –38.4 according to AR5 WGI,  Table 8.SM.17
</t>
        </r>
      </text>
    </comment>
    <comment ref="G103" authorId="0">
      <text>
        <r>
          <rPr>
            <sz val="9"/>
            <color indexed="81"/>
            <rFont val="Tahoma"/>
            <family val="2"/>
          </rPr>
          <t xml:space="preserve">GWP100 for SO2 is –38.4 according to AR5 WGI,  Table 8.SM.17
</t>
        </r>
      </text>
    </comment>
    <comment ref="G104" authorId="0">
      <text>
        <r>
          <rPr>
            <sz val="9"/>
            <color indexed="81"/>
            <rFont val="Tahoma"/>
            <family val="2"/>
          </rPr>
          <t xml:space="preserve">GWP100 for SO2 is –38.4 according to AR5 WGI,  Table 8.SM.17
</t>
        </r>
      </text>
    </comment>
    <comment ref="G105" authorId="0">
      <text>
        <r>
          <rPr>
            <sz val="9"/>
            <color indexed="81"/>
            <rFont val="Tahoma"/>
            <family val="2"/>
          </rPr>
          <t xml:space="preserve">GWP100 for SO2 is –38.4 according to AR5 WGI,  Table 8.SM.17
</t>
        </r>
      </text>
    </comment>
    <comment ref="G106" authorId="0">
      <text>
        <r>
          <rPr>
            <sz val="9"/>
            <color indexed="81"/>
            <rFont val="Tahoma"/>
            <family val="2"/>
          </rPr>
          <t xml:space="preserve">GWP100 for SO2 is –38.4 according to AR5 WGI,  Table 8.SM.17
</t>
        </r>
      </text>
    </comment>
    <comment ref="G107" authorId="0">
      <text>
        <r>
          <rPr>
            <sz val="9"/>
            <color indexed="81"/>
            <rFont val="Tahoma"/>
            <family val="2"/>
          </rPr>
          <t xml:space="preserve">GWP100 for SO2 is –38.4 according to AR5 WGI,  Table 8.SM.17
</t>
        </r>
      </text>
    </comment>
    <comment ref="G108" authorId="0">
      <text>
        <r>
          <rPr>
            <sz val="9"/>
            <color indexed="81"/>
            <rFont val="Tahoma"/>
            <family val="2"/>
          </rPr>
          <t xml:space="preserve">GWP100 for SO2 is –38.4 according to AR5 WGI,  Table 8.SM.17
</t>
        </r>
      </text>
    </comment>
    <comment ref="G109" authorId="0">
      <text>
        <r>
          <rPr>
            <sz val="9"/>
            <color indexed="81"/>
            <rFont val="Tahoma"/>
            <family val="2"/>
          </rPr>
          <t xml:space="preserve">GWP100 for SO2 is –38.4 according to AR5 WGI,  Table 8.SM.17
</t>
        </r>
      </text>
    </comment>
    <comment ref="G110" authorId="0">
      <text>
        <r>
          <rPr>
            <sz val="9"/>
            <color indexed="81"/>
            <rFont val="Tahoma"/>
            <family val="2"/>
          </rPr>
          <t xml:space="preserve">GWP100 for SO2 is –38.4 according to AR5 WGI,  Table 8.SM.17
</t>
        </r>
      </text>
    </comment>
    <comment ref="E111" authorId="0">
      <text>
        <r>
          <rPr>
            <sz val="9"/>
            <color indexed="81"/>
            <rFont val="Tahoma"/>
            <family val="2"/>
          </rPr>
          <t xml:space="preserve">In Sweden approximately 2 % of the threatened evertebrates are claimed to be threatened by acidification. (Faunavårdskommitten 1988). If this is assumed to be relevant for other acidified regions, roughly estimated to 10% of the earth’s land area, this would indicate that as a global average 0.2 % of the NEX are endangered due to SO2.
</t>
        </r>
      </text>
    </comment>
    <comment ref="G111" authorId="0">
      <text>
        <r>
          <rPr>
            <sz val="9"/>
            <color indexed="81"/>
            <rFont val="Tahoma"/>
            <family val="2"/>
          </rPr>
          <t xml:space="preserve">The global emission of SO2 is estimated to 101 Tg 2005. This figure is extrapolated from the trend since 2000 to 110 Tg for 2010 (the EDGAR-HTAP_V1 database for the period 2000-2005). 
As NOx also is a cause of lake acidification, the contribution from SOx should not be 100%. As the yearly global emission of NOx is 3.72E4 Gg = 2660 Gmoles H+ and SOx is  1.25E5 Gg (AR5, WGII, Table SM 8.19), which results in 1.25E5/64*2 = 3910 Gmoles of H+,  an approximate estimate is that i kg SOx contributes with 1/1.1E11*3910/(2660+3910) </t>
        </r>
      </text>
    </comment>
    <comment ref="E112" authorId="0">
      <text>
        <r>
          <rPr>
            <sz val="9"/>
            <color indexed="81"/>
            <rFont val="Tahoma"/>
            <family val="2"/>
          </rPr>
          <t xml:space="preserve">The global replacement of steel caused by corrosion due to SOx is estimated to 3.2 E10 kg/year. The estimations is based on assumptions of a 5 % reduction in the usage time for exposed steel constructions  and a world steel production of around 1.6 billion tons 2013. Export statistics indicate that Around 40% of the  steel may be exposed to air although coated. (World Steel Association 2014)
When producing i kg of steel, there is an emission of around 1.2 kg of CO2 (including benefits from recycling). This will cause an extra global emission of 
</t>
        </r>
      </text>
    </comment>
    <comment ref="G112" authorId="0">
      <text>
        <r>
          <rPr>
            <sz val="9"/>
            <color indexed="81"/>
            <rFont val="Tahoma"/>
            <family val="2"/>
          </rPr>
          <t xml:space="preserve">The global emission of SO2 is estimated to 101 Tg 2005. This figure is extrapolated from the trend since 2000 to 110 Tg for 2010 (the EDGAR-HTAP_V1 database
for the period 2000-2005).
</t>
        </r>
      </text>
    </comment>
    <comment ref="G115" authorId="0">
      <text>
        <r>
          <rPr>
            <sz val="9"/>
            <color indexed="81"/>
            <rFont val="Tahoma"/>
            <family val="2"/>
          </rPr>
          <t xml:space="preserve">No studies quantifying the transformation to SO2 has been found, except one that claims that the general opinion is that this is a major process eliminating H2s from the atmosphere. (Meszaros, 1981, Atmospheric Chemistry, Elsevier, Amsterdam)
</t>
        </r>
      </text>
    </comment>
    <comment ref="G117" authorId="0">
      <text>
        <r>
          <rPr>
            <sz val="9"/>
            <color indexed="81"/>
            <rFont val="Tahoma"/>
            <family val="2"/>
          </rPr>
          <t xml:space="preserve">Mole weight of HF is 20 and 19 for F. F will contribute to particle mass as F-.
</t>
        </r>
      </text>
    </comment>
    <comment ref="H117" authorId="0">
      <text>
        <r>
          <rPr>
            <sz val="9"/>
            <color indexed="81"/>
            <rFont val="Tahoma"/>
            <family val="2"/>
          </rPr>
          <t>Some gaseous HF may be deposited from air through scavenging and dry deposition. The rain frequency is in most regions less than 10% of the time and transformation to particles presumably in the orders of hours, so the share that is not transformed to particles ia assumed to be low.</t>
        </r>
      </text>
    </comment>
    <comment ref="B118" authorId="0">
      <text>
        <r>
          <rPr>
            <sz val="9"/>
            <color indexed="81"/>
            <rFont val="Tahoma"/>
            <family val="2"/>
          </rPr>
          <t>asthma cases are used as a proxy for the acute decreased lung capacity at episodes of exposure to high particle concentration</t>
        </r>
      </text>
    </comment>
    <comment ref="G118" authorId="0">
      <text>
        <r>
          <rPr>
            <sz val="9"/>
            <color indexed="81"/>
            <rFont val="Tahoma"/>
            <family val="2"/>
          </rPr>
          <t xml:space="preserve">Mole weight of HF is 20 and 19 for F. F will contribute to particle mass as F-.
</t>
        </r>
      </text>
    </comment>
    <comment ref="G119" authorId="0">
      <text>
        <r>
          <rPr>
            <sz val="9"/>
            <color indexed="81"/>
            <rFont val="Tahoma"/>
            <family val="2"/>
          </rPr>
          <t xml:space="preserve">Mole weight of HF is 20 and 19 for F. F will contribute to particle mass as F-.
</t>
        </r>
      </text>
    </comment>
    <comment ref="G120" authorId="0">
      <text>
        <r>
          <rPr>
            <sz val="9"/>
            <color indexed="81"/>
            <rFont val="Tahoma"/>
            <family val="2"/>
          </rPr>
          <t xml:space="preserve">Mole weight of HF is 20 and 19 for F. F will contribute to particle mass as F-.
</t>
        </r>
      </text>
    </comment>
    <comment ref="G121" authorId="0">
      <text>
        <r>
          <rPr>
            <sz val="9"/>
            <color indexed="81"/>
            <rFont val="Tahoma"/>
            <family val="2"/>
          </rPr>
          <t xml:space="preserve">Mole weight of HF is 20 and 19 for F. F will contribute to particle mass as F-.
</t>
        </r>
      </text>
    </comment>
    <comment ref="G122" authorId="0">
      <text>
        <r>
          <rPr>
            <sz val="9"/>
            <color indexed="81"/>
            <rFont val="Tahoma"/>
            <family val="2"/>
          </rPr>
          <t xml:space="preserve">Mole weight of HF is 20 and 19 for F. F will contribute to particle mass as F-.
</t>
        </r>
      </text>
    </comment>
    <comment ref="G123" authorId="0">
      <text>
        <r>
          <rPr>
            <sz val="9"/>
            <color indexed="81"/>
            <rFont val="Tahoma"/>
            <family val="2"/>
          </rPr>
          <t xml:space="preserve">Mole weight of HF is 20 and 19 for F. F will contribute to particle mass as F-.
</t>
        </r>
      </text>
    </comment>
    <comment ref="G124" authorId="0">
      <text>
        <r>
          <rPr>
            <sz val="9"/>
            <color indexed="81"/>
            <rFont val="Tahoma"/>
            <family val="2"/>
          </rPr>
          <t xml:space="preserve">Mole weight of HF is 20 and 19 for F. F will contribute to particle mass as F-.
</t>
        </r>
      </text>
    </comment>
    <comment ref="G125" authorId="0">
      <text>
        <r>
          <rPr>
            <sz val="9"/>
            <color indexed="81"/>
            <rFont val="Tahoma"/>
            <family val="2"/>
          </rPr>
          <t xml:space="preserve">Mole weight of HF is 20 and 19 for F. F will contribute to particle mass as F-.
</t>
        </r>
      </text>
    </comment>
    <comment ref="G126" authorId="0">
      <text>
        <r>
          <rPr>
            <sz val="9"/>
            <color indexed="81"/>
            <rFont val="Tahoma"/>
            <family val="2"/>
          </rPr>
          <t xml:space="preserve">Mole weight of HF is 20 and 19 for F. F will contribute to particle mass as F-.
</t>
        </r>
      </text>
    </comment>
    <comment ref="G127" authorId="0">
      <text>
        <r>
          <rPr>
            <sz val="9"/>
            <color indexed="81"/>
            <rFont val="Tahoma"/>
            <family val="2"/>
          </rPr>
          <t xml:space="preserve">Mole weight of HF is 20 and 19 for F. F will contribute to particle mass as F-.
</t>
        </r>
      </text>
    </comment>
    <comment ref="G128" authorId="0">
      <text>
        <r>
          <rPr>
            <sz val="9"/>
            <color indexed="81"/>
            <rFont val="Tahoma"/>
            <family val="2"/>
          </rPr>
          <t xml:space="preserve">Mole weight of HF is 20 and 19 for F. F will contribute to particle mass as F-.
</t>
        </r>
      </text>
    </comment>
    <comment ref="G129" authorId="0">
      <text>
        <r>
          <rPr>
            <sz val="9"/>
            <color indexed="81"/>
            <rFont val="Tahoma"/>
            <family val="2"/>
          </rPr>
          <t xml:space="preserve">Mole weight of HF is 20 and 19 for F. F will contribute to particle mass as F-.
</t>
        </r>
      </text>
    </comment>
    <comment ref="G130" authorId="0">
      <text>
        <r>
          <rPr>
            <sz val="9"/>
            <color indexed="81"/>
            <rFont val="Tahoma"/>
            <family val="2"/>
          </rPr>
          <t xml:space="preserve">Mole weight of HF is 20 and 19 for F. F will contribute to particle mass as F-.
</t>
        </r>
      </text>
    </comment>
    <comment ref="G131" authorId="0">
      <text>
        <r>
          <rPr>
            <sz val="9"/>
            <color indexed="81"/>
            <rFont val="Tahoma"/>
            <family val="2"/>
          </rPr>
          <t xml:space="preserve">Mole weight of HF is 20 and 19 for F. F will contribute to particle mass as F-.
</t>
        </r>
      </text>
    </comment>
    <comment ref="G132" authorId="0">
      <text>
        <r>
          <rPr>
            <sz val="9"/>
            <color indexed="81"/>
            <rFont val="Tahoma"/>
            <family val="2"/>
          </rPr>
          <t xml:space="preserve">Mole weight of HF is 20 and 19 for F. F will contribute to particle mass as F-.
</t>
        </r>
      </text>
    </comment>
    <comment ref="G133" authorId="0">
      <text>
        <r>
          <rPr>
            <sz val="9"/>
            <color indexed="81"/>
            <rFont val="Tahoma"/>
            <family val="2"/>
          </rPr>
          <t xml:space="preserve">Acidification potential for HF
</t>
        </r>
      </text>
    </comment>
    <comment ref="G134" authorId="0">
      <text>
        <r>
          <rPr>
            <sz val="9"/>
            <color indexed="81"/>
            <rFont val="Tahoma"/>
            <family val="2"/>
          </rPr>
          <t xml:space="preserve">Acidification potential for HF in SO2 equivalents
</t>
        </r>
      </text>
    </comment>
    <comment ref="G135" authorId="0">
      <text>
        <r>
          <rPr>
            <sz val="9"/>
            <color indexed="81"/>
            <rFont val="Tahoma"/>
            <family val="2"/>
          </rPr>
          <t xml:space="preserve">Acidification potential for HF
</t>
        </r>
      </text>
    </comment>
    <comment ref="G138" authorId="0">
      <text>
        <r>
          <rPr>
            <sz val="9"/>
            <color indexed="81"/>
            <rFont val="Tahoma"/>
            <family val="2"/>
          </rPr>
          <t xml:space="preserve">Mole weight of HCl is 36 and 35 for Cl. Cl will contribute to particle mass as Cl-.
</t>
        </r>
      </text>
    </comment>
    <comment ref="B139" authorId="0">
      <text>
        <r>
          <rPr>
            <sz val="9"/>
            <color indexed="81"/>
            <rFont val="Tahoma"/>
            <family val="2"/>
          </rPr>
          <t>asthma cases are used as a proxy for the acute decreased lung capacity at episodes of exposure to high particle concentration</t>
        </r>
      </text>
    </comment>
    <comment ref="G139" authorId="0">
      <text>
        <r>
          <rPr>
            <sz val="9"/>
            <color indexed="81"/>
            <rFont val="Tahoma"/>
            <family val="2"/>
          </rPr>
          <t xml:space="preserve">Mole weight of HCl is 36 and 35 for Cl. Cl will contribute to particle mass as Cl-.
</t>
        </r>
      </text>
    </comment>
    <comment ref="G140" authorId="0">
      <text>
        <r>
          <rPr>
            <sz val="9"/>
            <color indexed="81"/>
            <rFont val="Tahoma"/>
            <family val="2"/>
          </rPr>
          <t xml:space="preserve">Mole weight of HCl is 36 and 35 for Cl. Cl will contribute to particle mass as Cl-.
</t>
        </r>
      </text>
    </comment>
    <comment ref="G141" authorId="0">
      <text>
        <r>
          <rPr>
            <sz val="9"/>
            <color indexed="81"/>
            <rFont val="Tahoma"/>
            <family val="2"/>
          </rPr>
          <t xml:space="preserve">Mole weight of HCl is 36 and 35 for Cl. Cl will contribute to particle mass as Cl-.
</t>
        </r>
      </text>
    </comment>
    <comment ref="G142" authorId="0">
      <text>
        <r>
          <rPr>
            <sz val="9"/>
            <color indexed="81"/>
            <rFont val="Tahoma"/>
            <family val="2"/>
          </rPr>
          <t xml:space="preserve">Mole weight of HCl is 36 and 35 for Cl. Cl will contribute to particle mass as Cl-.
</t>
        </r>
      </text>
    </comment>
    <comment ref="G143" authorId="0">
      <text>
        <r>
          <rPr>
            <sz val="9"/>
            <color indexed="81"/>
            <rFont val="Tahoma"/>
            <family val="2"/>
          </rPr>
          <t xml:space="preserve">Mole weight of HCl is 36 and 35 for Cl. Cl will contribute to particle mass as Cl-.
</t>
        </r>
      </text>
    </comment>
    <comment ref="G144" authorId="0">
      <text>
        <r>
          <rPr>
            <sz val="9"/>
            <color indexed="81"/>
            <rFont val="Tahoma"/>
            <family val="2"/>
          </rPr>
          <t xml:space="preserve">Mole weight of HCl is 36 and 35 for Cl. Cl will contribute to particle mass as Cl-.
</t>
        </r>
      </text>
    </comment>
    <comment ref="G145" authorId="0">
      <text>
        <r>
          <rPr>
            <sz val="9"/>
            <color indexed="81"/>
            <rFont val="Tahoma"/>
            <family val="2"/>
          </rPr>
          <t xml:space="preserve">Mole weight of HCl is 36 and 35 for Cl. Cl will contribute to particle mass as Cl-.
</t>
        </r>
      </text>
    </comment>
    <comment ref="G146" authorId="0">
      <text>
        <r>
          <rPr>
            <sz val="9"/>
            <color indexed="81"/>
            <rFont val="Tahoma"/>
            <family val="2"/>
          </rPr>
          <t xml:space="preserve">Mole weight of HCl is 36 and 35 for Cl. Cl will contribute to particle mass as Cl-.
</t>
        </r>
      </text>
    </comment>
    <comment ref="G147" authorId="0">
      <text>
        <r>
          <rPr>
            <sz val="9"/>
            <color indexed="81"/>
            <rFont val="Tahoma"/>
            <family val="2"/>
          </rPr>
          <t xml:space="preserve">Mole weight of HCl is 36 and 35 for Cl. Cl will contribute to particle mass as Cl-.
</t>
        </r>
      </text>
    </comment>
    <comment ref="G148" authorId="0">
      <text>
        <r>
          <rPr>
            <sz val="9"/>
            <color indexed="81"/>
            <rFont val="Tahoma"/>
            <family val="2"/>
          </rPr>
          <t xml:space="preserve">Mole weight of HCl is 36 and 35 for Cl. Cl will contribute to particle mass as Cl-.
</t>
        </r>
      </text>
    </comment>
    <comment ref="G149" authorId="0">
      <text>
        <r>
          <rPr>
            <sz val="9"/>
            <color indexed="81"/>
            <rFont val="Tahoma"/>
            <family val="2"/>
          </rPr>
          <t xml:space="preserve">Mole weight of HCl is 36 and 35 for Cl. Cl will contribute to particle mass as Cl-.
</t>
        </r>
      </text>
    </comment>
    <comment ref="G150" authorId="0">
      <text>
        <r>
          <rPr>
            <sz val="9"/>
            <color indexed="81"/>
            <rFont val="Tahoma"/>
            <family val="2"/>
          </rPr>
          <t xml:space="preserve">Mole weight of HCl is 36 and 35 for Cl. Cl will contribute to particle mass as Cl-.
</t>
        </r>
      </text>
    </comment>
    <comment ref="G151" authorId="0">
      <text>
        <r>
          <rPr>
            <sz val="9"/>
            <color indexed="81"/>
            <rFont val="Tahoma"/>
            <family val="2"/>
          </rPr>
          <t xml:space="preserve">Mole weight of HCl is 36 and 35 for Cl. Cl will contribute to particle mass as Cl-.
</t>
        </r>
      </text>
    </comment>
    <comment ref="G152" authorId="0">
      <text>
        <r>
          <rPr>
            <sz val="9"/>
            <color indexed="81"/>
            <rFont val="Tahoma"/>
            <family val="2"/>
          </rPr>
          <t xml:space="preserve">Mole weight of HCl is 36 and 35 for Cl. Cl will contribute to particle mass as Cl-.
</t>
        </r>
      </text>
    </comment>
    <comment ref="G153" authorId="0">
      <text>
        <r>
          <rPr>
            <sz val="9"/>
            <color indexed="81"/>
            <rFont val="Tahoma"/>
            <family val="2"/>
          </rPr>
          <t xml:space="preserve">Mole weight of HCl is 36 and 35 for Cl. Cl will contribute to particle mass as Cl-.
</t>
        </r>
      </text>
    </comment>
    <comment ref="G154" authorId="0">
      <text>
        <r>
          <rPr>
            <sz val="9"/>
            <color indexed="81"/>
            <rFont val="Tahoma"/>
            <family val="2"/>
          </rPr>
          <t xml:space="preserve">Acidification potential for HCl in SO2-equivalents
</t>
        </r>
      </text>
    </comment>
    <comment ref="G155" authorId="0">
      <text>
        <r>
          <rPr>
            <sz val="9"/>
            <color indexed="81"/>
            <rFont val="Tahoma"/>
            <family val="2"/>
          </rPr>
          <t xml:space="preserve">Acidification potential for HCl in SO2-equivalents
</t>
        </r>
      </text>
    </comment>
    <comment ref="G156" authorId="0">
      <text>
        <r>
          <rPr>
            <sz val="9"/>
            <color indexed="81"/>
            <rFont val="Tahoma"/>
            <family val="2"/>
          </rPr>
          <t xml:space="preserve">Acidification potential for HCl in SO2-equivalents
</t>
        </r>
      </text>
    </comment>
    <comment ref="G160" authorId="0">
      <text>
        <r>
          <rPr>
            <sz val="9"/>
            <color indexed="81"/>
            <rFont val="Tahoma"/>
            <family val="2"/>
          </rPr>
          <t xml:space="preserve">NH3 will add to the particle mass as NH4+
</t>
        </r>
      </text>
    </comment>
    <comment ref="B161" authorId="0">
      <text>
        <r>
          <rPr>
            <sz val="9"/>
            <color indexed="81"/>
            <rFont val="Tahoma"/>
            <family val="2"/>
          </rPr>
          <t>asthma cases are used as a proxy for the acute decreased lung capacity at episodes of exposure to high particle concentration</t>
        </r>
      </text>
    </comment>
    <comment ref="G161" authorId="0">
      <text>
        <r>
          <rPr>
            <sz val="9"/>
            <color indexed="81"/>
            <rFont val="Tahoma"/>
            <family val="2"/>
          </rPr>
          <t xml:space="preserve">NH3 will add to the particle mass as NH4+
</t>
        </r>
      </text>
    </comment>
    <comment ref="G162" authorId="0">
      <text>
        <r>
          <rPr>
            <sz val="9"/>
            <color indexed="81"/>
            <rFont val="Tahoma"/>
            <family val="2"/>
          </rPr>
          <t xml:space="preserve">NH3 will add to the particle mass as NH4+
</t>
        </r>
      </text>
    </comment>
    <comment ref="G163" authorId="0">
      <text>
        <r>
          <rPr>
            <sz val="9"/>
            <color indexed="81"/>
            <rFont val="Tahoma"/>
            <family val="2"/>
          </rPr>
          <t xml:space="preserve">NH3 will add to the particle mass as NH4+
</t>
        </r>
      </text>
    </comment>
    <comment ref="G164" authorId="0">
      <text>
        <r>
          <rPr>
            <sz val="9"/>
            <color indexed="81"/>
            <rFont val="Tahoma"/>
            <family val="2"/>
          </rPr>
          <t xml:space="preserve">NH3 will add to the particle mass as NH4+
</t>
        </r>
      </text>
    </comment>
    <comment ref="G165" authorId="0">
      <text>
        <r>
          <rPr>
            <sz val="9"/>
            <color indexed="81"/>
            <rFont val="Tahoma"/>
            <family val="2"/>
          </rPr>
          <t xml:space="preserve">NH3 will add to the particle mass as NH4+
</t>
        </r>
      </text>
    </comment>
    <comment ref="G166" authorId="0">
      <text>
        <r>
          <rPr>
            <sz val="9"/>
            <color indexed="81"/>
            <rFont val="Tahoma"/>
            <family val="2"/>
          </rPr>
          <t xml:space="preserve">NH3 will add to the particle mass as NH4+
</t>
        </r>
      </text>
    </comment>
    <comment ref="G167" authorId="0">
      <text>
        <r>
          <rPr>
            <sz val="9"/>
            <color indexed="81"/>
            <rFont val="Tahoma"/>
            <family val="2"/>
          </rPr>
          <t xml:space="preserve">NH3 will add to the particle mass as NH4+
</t>
        </r>
      </text>
    </comment>
    <comment ref="G168" authorId="0">
      <text>
        <r>
          <rPr>
            <sz val="9"/>
            <color indexed="81"/>
            <rFont val="Tahoma"/>
            <family val="2"/>
          </rPr>
          <t xml:space="preserve">NH3 will add to the particle mass as NH4+
</t>
        </r>
      </text>
    </comment>
    <comment ref="G169" authorId="0">
      <text>
        <r>
          <rPr>
            <sz val="9"/>
            <color indexed="81"/>
            <rFont val="Tahoma"/>
            <family val="2"/>
          </rPr>
          <t xml:space="preserve">NH3 will add to the particle mass as NH4+
</t>
        </r>
      </text>
    </comment>
    <comment ref="G170" authorId="0">
      <text>
        <r>
          <rPr>
            <sz val="9"/>
            <color indexed="81"/>
            <rFont val="Tahoma"/>
            <family val="2"/>
          </rPr>
          <t xml:space="preserve">NH3 will add to the particle mass as NH4+
</t>
        </r>
      </text>
    </comment>
    <comment ref="G171" authorId="0">
      <text>
        <r>
          <rPr>
            <sz val="9"/>
            <color indexed="81"/>
            <rFont val="Tahoma"/>
            <family val="2"/>
          </rPr>
          <t xml:space="preserve">NH3 will add to the particle mass as NH4+
</t>
        </r>
      </text>
    </comment>
    <comment ref="G172" authorId="0">
      <text>
        <r>
          <rPr>
            <sz val="9"/>
            <color indexed="81"/>
            <rFont val="Tahoma"/>
            <family val="2"/>
          </rPr>
          <t xml:space="preserve">NH3 will add to the particle mass as NH4+
</t>
        </r>
      </text>
    </comment>
    <comment ref="G173" authorId="0">
      <text>
        <r>
          <rPr>
            <sz val="9"/>
            <color indexed="81"/>
            <rFont val="Tahoma"/>
            <family val="2"/>
          </rPr>
          <t xml:space="preserve">NH3 will add to the particle mass as NH4+
</t>
        </r>
      </text>
    </comment>
    <comment ref="G174" authorId="0">
      <text>
        <r>
          <rPr>
            <sz val="9"/>
            <color indexed="81"/>
            <rFont val="Tahoma"/>
            <family val="2"/>
          </rPr>
          <t xml:space="preserve">NH3 will add to the particle mass as NH4+
</t>
        </r>
      </text>
    </comment>
    <comment ref="G175" authorId="0">
      <text>
        <r>
          <rPr>
            <sz val="9"/>
            <color indexed="81"/>
            <rFont val="Tahoma"/>
            <family val="2"/>
          </rPr>
          <t xml:space="preserve">NH3 will add to the particle mass as NH4+
</t>
        </r>
      </text>
    </comment>
    <comment ref="G176" authorId="0">
      <text>
        <r>
          <rPr>
            <sz val="9"/>
            <color indexed="81"/>
            <rFont val="Tahoma"/>
            <family val="2"/>
          </rPr>
          <t xml:space="preserve">Acidification potential in SO2 equivalents
</t>
        </r>
      </text>
    </comment>
    <comment ref="G177" authorId="0">
      <text>
        <r>
          <rPr>
            <sz val="9"/>
            <color indexed="81"/>
            <rFont val="Tahoma"/>
            <family val="2"/>
          </rPr>
          <t xml:space="preserve">Acidification potential in SO2 equivalents
</t>
        </r>
      </text>
    </comment>
    <comment ref="G178" authorId="0">
      <text>
        <r>
          <rPr>
            <sz val="9"/>
            <color indexed="81"/>
            <rFont val="Tahoma"/>
            <family val="2"/>
          </rPr>
          <t xml:space="preserve">Eutrofication potential in NO2 eqivalents
</t>
        </r>
      </text>
    </comment>
    <comment ref="G179" authorId="0">
      <text>
        <r>
          <rPr>
            <sz val="9"/>
            <color indexed="81"/>
            <rFont val="Tahoma"/>
            <family val="2"/>
          </rPr>
          <t xml:space="preserve">Eutrofication potential in NO2 eqivalents
</t>
        </r>
      </text>
    </comment>
    <comment ref="G180" authorId="0">
      <text>
        <r>
          <rPr>
            <sz val="9"/>
            <color indexed="81"/>
            <rFont val="Tahoma"/>
            <family val="2"/>
          </rPr>
          <t xml:space="preserve">Eutrofication potential in NO2 eqivalents
</t>
        </r>
      </text>
    </comment>
    <comment ref="E184" authorId="0">
      <text>
        <r>
          <rPr>
            <sz val="9"/>
            <color indexed="81"/>
            <rFont val="Tahoma"/>
            <family val="2"/>
          </rPr>
          <t>Some groups of the population in North America, Europe and New Zealand eating much locally caught fish tend to get high mercury concentrations in body tissue. This may lead to various health effects but the one of most concern is mental retardation of children due to prenatal exposure (Kjellström et al., 1988). In a New Zealand study, 1000 out of 11000 new mothers had consumed fish more than three times a week. 73 of these had hair mercury levels above 6 mg/kg. 50% of the high mercury level children had abnormal or questionable test results in a Denver Development Screening Test, whereas only 17% of the reference children had such results. This indicates that 0.2% of a “fish eating” population like New Zealand is affected. Globally the “fish eating” population is in the order of 200 millions. 0.2% of these are 400000. .
In a USEPA study to the Congress 1997, 166000 pregnant women were estimated to be eating fish above 100 g/day. This corresponds to  0.07% of the population.  Upscaled to the global population, 4.8 million people/year will be eating fish above 100 g/day. If the same frequency of high mercury levels are assumed as in New Zealand (73/1000), we obtain a figure of 0.073*4.8 million =345000 personyears per year.
In an Iraqi study, cited by USEPA, severe neurogical effects is observed first at hair concentrations above 10 - 50 mg/kg. The effect corresponding to DALY clessification of mild mental retardations is thereore estimated to 1000000 personyears per year.</t>
        </r>
      </text>
    </comment>
    <comment ref="F184" authorId="0">
      <text>
        <r>
          <rPr>
            <sz val="9"/>
            <color indexed="81"/>
            <rFont val="Tahoma"/>
            <family val="2"/>
          </rPr>
          <t xml:space="preserve">Most of the literature on health risks from mercury aims at finding safe levels and setting standards. What actually happens at high exposures is unclear and in particular is it unclear how the effects recorded at the accidental exposure in Iraq coincides with the DALY classification, in this case "intellectual disability: mild, moderate, severe or profound". In the Iraqi study of the 1971 Iraqi methylmercury poisoning incident 8 out of 54 children with doses of mercury in hair above 10 ppm had mental symptoms, but significant impacts where evident first at those children having exposures at 53 ppm and above.
</t>
        </r>
      </text>
    </comment>
    <comment ref="G184" authorId="0">
      <text>
        <r>
          <rPr>
            <sz val="9"/>
            <color indexed="81"/>
            <rFont val="Tahoma"/>
            <family val="2"/>
          </rPr>
          <t xml:space="preserve">The global anthropogenic emission of Hg to air is estimated to 1960 tonnes and 1000 tonnes to water in 2010 (UNEP, 2010). The natural emission is around 670 tonnes, and there is a substatial reemission of mercury from old depositions, approximately 4000 tonnes. Totally the emissions contributing to the population exposure via fish is thus 7630 ton.
</t>
        </r>
      </text>
    </comment>
    <comment ref="H184" authorId="0">
      <text>
        <r>
          <rPr>
            <sz val="9"/>
            <color indexed="81"/>
            <rFont val="Tahoma"/>
            <family val="2"/>
          </rPr>
          <t xml:space="preserve">Even if mercury is distributed on a global scale, it is uncertain how much of a single emissions that is transfeerd to methylmercury
</t>
        </r>
      </text>
    </comment>
    <comment ref="E187" authorId="0">
      <text>
        <r>
          <rPr>
            <sz val="9"/>
            <color indexed="81"/>
            <rFont val="Tahoma"/>
            <family val="2"/>
          </rPr>
          <t>Some groups of the population in North America, Europe and New Zealand eating much locally caught fish tend to get high mercury concentrations in body tissue. This may lead to various health effects but the one of most concern is mental retardation of children due to prenatal exposure (Kjellström et al., 1988). In a New Zealand study, 1000 out of 11000 new mothers had consumed fish more than three times a week. 73 of these had hair mercury levels above 6 mg/kg. 50% of the high mercury level children had abnormal or questionable test results in a Denver Development Screening Test, whereas only 17% of the reference children had such results. This indicates that 0.2% of a “fish eating” population like New Zealand is affected. Globally the “fish eating” population is in the order of 200 millions. 0.2% of these are 400000. .
In a USEPA study to the Congress 1997, 166000 pregnant women were estimated to be eating fish above 100 g/day. This corresponds to  0.07% of the population.  Upscaled to the global population, 4.8 million people/year will be eating fish above 100 g/day. If the same frequency of high mercury levels are assumed as in New Zealand (73/1000), we obtain a figure of 0.073*4.8 million =345000 personyears per year.
In an Iraqi study, cited by USEPA, severe neurogical effects is observed first at hair concentrations above 10 - 50 mg/kg. The effect corresponding to DALY clessification of mild mental retardations is thereore estimated to 1000000 personyears per year.</t>
        </r>
      </text>
    </comment>
    <comment ref="F187" authorId="0">
      <text>
        <r>
          <rPr>
            <sz val="9"/>
            <color indexed="81"/>
            <rFont val="Tahoma"/>
            <family val="2"/>
          </rPr>
          <t xml:space="preserve">Most of the literature on health risks from mercury aims at finding safe levels and setting standards. What actually happens at high exposures is unclear and in particular is it unclear how the effects recorded at the accidental exposure in Iraq coincides with the DALY classification, in this case "intellectual disability: mild, moderate, severe or profound". In the Iraqi study of the 1971 Iraqi methylmercury poisoning incident 8 out of 54 children with doses of mercury in hair above 10 ppm had mental symptoms, but significant impacts where evident first at those children having exposures at 53 ppm and above.
</t>
        </r>
      </text>
    </comment>
    <comment ref="G187" authorId="0">
      <text>
        <r>
          <rPr>
            <sz val="9"/>
            <color indexed="81"/>
            <rFont val="Tahoma"/>
            <family val="2"/>
          </rPr>
          <t xml:space="preserve">The global anthropogenic emission of Hg to air is estimated to 1960 tonnes and 1000 tonnes to water in 2010 (UNEP, 2010). The natural emission is around 670 tonnes, and there is a substatial reemission of mercury from old depositions, approximately 4000 tonnes. Totally the emissions contributing to the population exposure via fish is thus 7630 ton.
</t>
        </r>
      </text>
    </comment>
    <comment ref="H187" authorId="0">
      <text>
        <r>
          <rPr>
            <sz val="9"/>
            <color indexed="81"/>
            <rFont val="Tahoma"/>
            <family val="2"/>
          </rPr>
          <t xml:space="preserve">Even if mercury is distributed on a global scale, it is uncertain how much of a single emissions that is transfeerd to methylmercury
</t>
        </r>
      </text>
    </comment>
    <comment ref="G192" authorId="0">
      <text>
        <r>
          <rPr>
            <sz val="9"/>
            <color indexed="81"/>
            <rFont val="Tahoma"/>
            <family val="2"/>
          </rPr>
          <t xml:space="preserve">Mole weight of HBr is 80,9 and 79,9 for Br. Br will contribute to particle mass as Br-.
</t>
        </r>
      </text>
    </comment>
    <comment ref="B193" authorId="0">
      <text>
        <r>
          <rPr>
            <sz val="9"/>
            <color indexed="81"/>
            <rFont val="Tahoma"/>
            <family val="2"/>
          </rPr>
          <t>asthma cases are used as a proxy for the acute decreased lung capacity at episodes of exposure to high particle concentration</t>
        </r>
      </text>
    </comment>
    <comment ref="G193" authorId="0">
      <text>
        <r>
          <rPr>
            <sz val="9"/>
            <color indexed="81"/>
            <rFont val="Tahoma"/>
            <family val="2"/>
          </rPr>
          <t xml:space="preserve">Mole weight of HBr is 80,9 and 79,9 for Br. Br will contribute to particle mass as Br-.
</t>
        </r>
      </text>
    </comment>
    <comment ref="G194" authorId="0">
      <text>
        <r>
          <rPr>
            <sz val="9"/>
            <color indexed="81"/>
            <rFont val="Tahoma"/>
            <family val="2"/>
          </rPr>
          <t xml:space="preserve">Mole weight of HBr is 80,9 and 79,9 for Br. Br will contribute to particle mass as Br-.
</t>
        </r>
      </text>
    </comment>
    <comment ref="G195" authorId="0">
      <text>
        <r>
          <rPr>
            <sz val="9"/>
            <color indexed="81"/>
            <rFont val="Tahoma"/>
            <family val="2"/>
          </rPr>
          <t xml:space="preserve">Mole weight of HBr is 80,9 and 79,9 for Br. Br will contribute to particle mass as Br-.
</t>
        </r>
      </text>
    </comment>
    <comment ref="G196" authorId="0">
      <text>
        <r>
          <rPr>
            <sz val="9"/>
            <color indexed="81"/>
            <rFont val="Tahoma"/>
            <family val="2"/>
          </rPr>
          <t xml:space="preserve">Mole weight of HBr is 80,9 and 79,9 for Br. Br will contribute to particle mass as Br-.
</t>
        </r>
      </text>
    </comment>
    <comment ref="G197" authorId="0">
      <text>
        <r>
          <rPr>
            <sz val="9"/>
            <color indexed="81"/>
            <rFont val="Tahoma"/>
            <family val="2"/>
          </rPr>
          <t xml:space="preserve">Mole weight of HBr is 80,9 and 79,9 for Br. Br will contribute to particle mass as Br-.
</t>
        </r>
      </text>
    </comment>
    <comment ref="G198" authorId="0">
      <text>
        <r>
          <rPr>
            <sz val="9"/>
            <color indexed="81"/>
            <rFont val="Tahoma"/>
            <family val="2"/>
          </rPr>
          <t xml:space="preserve">Mole weight of HBr is 80,9 and 79,9 for Br. Br will contribute to particle mass as Br-.
</t>
        </r>
      </text>
    </comment>
    <comment ref="G199" authorId="0">
      <text>
        <r>
          <rPr>
            <sz val="9"/>
            <color indexed="81"/>
            <rFont val="Tahoma"/>
            <family val="2"/>
          </rPr>
          <t xml:space="preserve">Mole weight of HBr is 80,9 and 79,9 for Br. Br will contribute to particle mass as Br-.
</t>
        </r>
      </text>
    </comment>
    <comment ref="G200" authorId="0">
      <text>
        <r>
          <rPr>
            <sz val="9"/>
            <color indexed="81"/>
            <rFont val="Tahoma"/>
            <family val="2"/>
          </rPr>
          <t xml:space="preserve">Mole weight of HBr is 80,9 and 79,9 for Br. Br will contribute to particle mass as Br-.
</t>
        </r>
      </text>
    </comment>
    <comment ref="G201" authorId="0">
      <text>
        <r>
          <rPr>
            <sz val="9"/>
            <color indexed="81"/>
            <rFont val="Tahoma"/>
            <family val="2"/>
          </rPr>
          <t xml:space="preserve">Mole weight of HBr is 80,9 and 79,9 for Br. Br will contribute to particle mass as Br-.
</t>
        </r>
      </text>
    </comment>
    <comment ref="G202" authorId="0">
      <text>
        <r>
          <rPr>
            <sz val="9"/>
            <color indexed="81"/>
            <rFont val="Tahoma"/>
            <family val="2"/>
          </rPr>
          <t xml:space="preserve">Mole weight of HBr is 80,9 and 79,9 for Br. Br will contribute to particle mass as Br-.
</t>
        </r>
      </text>
    </comment>
    <comment ref="G203" authorId="0">
      <text>
        <r>
          <rPr>
            <sz val="9"/>
            <color indexed="81"/>
            <rFont val="Tahoma"/>
            <family val="2"/>
          </rPr>
          <t xml:space="preserve">Mole weight of HBr is 80,9 and 79,9 for Br. Br will contribute to particle mass as Br-.
</t>
        </r>
      </text>
    </comment>
    <comment ref="G204" authorId="0">
      <text>
        <r>
          <rPr>
            <sz val="9"/>
            <color indexed="81"/>
            <rFont val="Tahoma"/>
            <family val="2"/>
          </rPr>
          <t xml:space="preserve">Mole weight of HBr is 80,9 and 79,9 for Br. Br will contribute to particle mass as Br-.
</t>
        </r>
      </text>
    </comment>
    <comment ref="G205" authorId="0">
      <text>
        <r>
          <rPr>
            <sz val="9"/>
            <color indexed="81"/>
            <rFont val="Tahoma"/>
            <family val="2"/>
          </rPr>
          <t xml:space="preserve">Mole weight of HBr is 80,9 and 79,9 for Br. Br will contribute to particle mass as Br-.
</t>
        </r>
      </text>
    </comment>
    <comment ref="G206" authorId="0">
      <text>
        <r>
          <rPr>
            <sz val="9"/>
            <color indexed="81"/>
            <rFont val="Tahoma"/>
            <family val="2"/>
          </rPr>
          <t xml:space="preserve">Mole weight of HBr is 80,9 and 79,9 for Br. Br will contribute to particle mass as Br-.
</t>
        </r>
      </text>
    </comment>
    <comment ref="G207" authorId="0">
      <text>
        <r>
          <rPr>
            <sz val="9"/>
            <color indexed="81"/>
            <rFont val="Tahoma"/>
            <family val="2"/>
          </rPr>
          <t xml:space="preserve">Mole weight of HBr is 80,9 and 79,9 for Br. Br will contribute to particle mass as Br-.
</t>
        </r>
      </text>
    </comment>
    <comment ref="G208" authorId="0">
      <text>
        <r>
          <rPr>
            <sz val="9"/>
            <color indexed="81"/>
            <rFont val="Tahoma"/>
            <family val="2"/>
          </rPr>
          <t>Acidification potential for HBr in SO2 equivalents</t>
        </r>
      </text>
    </comment>
    <comment ref="G209" authorId="0">
      <text>
        <r>
          <rPr>
            <sz val="9"/>
            <color indexed="81"/>
            <rFont val="Tahoma"/>
            <family val="2"/>
          </rPr>
          <t>Acidification potential for HBr in SO2 equivalents</t>
        </r>
      </text>
    </comment>
    <comment ref="G210" authorId="0">
      <text>
        <r>
          <rPr>
            <sz val="9"/>
            <color indexed="81"/>
            <rFont val="Tahoma"/>
            <family val="2"/>
          </rPr>
          <t>Acidification potential for HBr in SO2 equivalents</t>
        </r>
      </text>
    </comment>
    <comment ref="E213" authorId="0">
      <text>
        <r>
          <rPr>
            <sz val="9"/>
            <color indexed="81"/>
            <rFont val="Tahoma"/>
            <family val="2"/>
          </rPr>
          <t>HCN is a very toxic gas. However, in a global average perspective, acute effects of normal HCN emissions are regarded as negligable</t>
        </r>
      </text>
    </comment>
    <comment ref="G213" authorId="0">
      <text>
        <r>
          <rPr>
            <sz val="9"/>
            <color indexed="81"/>
            <rFont val="Tahoma"/>
            <family val="2"/>
          </rPr>
          <t xml:space="preserve">Mole weight of HCN is 27 and 26 for CN. CN will contribute to particle mass as CN-.
</t>
        </r>
      </text>
    </comment>
    <comment ref="B214" authorId="0">
      <text>
        <r>
          <rPr>
            <sz val="9"/>
            <color indexed="81"/>
            <rFont val="Tahoma"/>
            <family val="2"/>
          </rPr>
          <t>asthma cases are used as a proxy for the acute decreased lung capacity at episodes of exposure to high particle concentration</t>
        </r>
      </text>
    </comment>
    <comment ref="G214" authorId="0">
      <text>
        <r>
          <rPr>
            <sz val="9"/>
            <color indexed="81"/>
            <rFont val="Tahoma"/>
            <family val="2"/>
          </rPr>
          <t xml:space="preserve">Mole weight of HCN is 27 and 26 for CN. CN will contribute to particle mass as CN-.
</t>
        </r>
      </text>
    </comment>
    <comment ref="G215" authorId="0">
      <text>
        <r>
          <rPr>
            <sz val="9"/>
            <color indexed="81"/>
            <rFont val="Tahoma"/>
            <family val="2"/>
          </rPr>
          <t xml:space="preserve">Mole weight of HCN is 27 and 26 for CN. CN will contribute to particle mass as CN-.
</t>
        </r>
      </text>
    </comment>
    <comment ref="G216" authorId="0">
      <text>
        <r>
          <rPr>
            <sz val="9"/>
            <color indexed="81"/>
            <rFont val="Tahoma"/>
            <family val="2"/>
          </rPr>
          <t xml:space="preserve">Mole weight of HCN is 27 and 26 for CN. CN will contribute to particle mass as CN-.
</t>
        </r>
      </text>
    </comment>
    <comment ref="G217" authorId="0">
      <text>
        <r>
          <rPr>
            <sz val="9"/>
            <color indexed="81"/>
            <rFont val="Tahoma"/>
            <family val="2"/>
          </rPr>
          <t xml:space="preserve">Mole weight of HCN is 27 and 26 for CN. CN will contribute to particle mass as CN-.
</t>
        </r>
      </text>
    </comment>
    <comment ref="G218" authorId="0">
      <text>
        <r>
          <rPr>
            <sz val="9"/>
            <color indexed="81"/>
            <rFont val="Tahoma"/>
            <family val="2"/>
          </rPr>
          <t xml:space="preserve">Mole weight of HCN is 27 and 26 for CN. CN will contribute to particle mass as CN-.
</t>
        </r>
      </text>
    </comment>
    <comment ref="G219" authorId="0">
      <text>
        <r>
          <rPr>
            <sz val="9"/>
            <color indexed="81"/>
            <rFont val="Tahoma"/>
            <family val="2"/>
          </rPr>
          <t xml:space="preserve">Mole weight of HCN is 27 and 26 for CN. CN will contribute to particle mass as CN-.
</t>
        </r>
      </text>
    </comment>
    <comment ref="G220" authorId="0">
      <text>
        <r>
          <rPr>
            <sz val="9"/>
            <color indexed="81"/>
            <rFont val="Tahoma"/>
            <family val="2"/>
          </rPr>
          <t xml:space="preserve">Mole weight of HCN is 27 and 26 for CN. CN will contribute to particle mass as CN-.
</t>
        </r>
      </text>
    </comment>
    <comment ref="G221" authorId="0">
      <text>
        <r>
          <rPr>
            <sz val="9"/>
            <color indexed="81"/>
            <rFont val="Tahoma"/>
            <family val="2"/>
          </rPr>
          <t xml:space="preserve">Mole weight of HCN is 27 and 26 for CN. CN will contribute to particle mass as CN-.
</t>
        </r>
      </text>
    </comment>
    <comment ref="G222" authorId="0">
      <text>
        <r>
          <rPr>
            <sz val="9"/>
            <color indexed="81"/>
            <rFont val="Tahoma"/>
            <family val="2"/>
          </rPr>
          <t xml:space="preserve">Mole weight of HCN is 27 and 26 for CN. CN will contribute to particle mass as CN-.
</t>
        </r>
      </text>
    </comment>
    <comment ref="G223" authorId="0">
      <text>
        <r>
          <rPr>
            <sz val="9"/>
            <color indexed="81"/>
            <rFont val="Tahoma"/>
            <family val="2"/>
          </rPr>
          <t xml:space="preserve">Mole weight of HCN is 27 and 26 for CN. CN will contribute to particle mass as CN-.
</t>
        </r>
      </text>
    </comment>
    <comment ref="G224" authorId="0">
      <text>
        <r>
          <rPr>
            <sz val="9"/>
            <color indexed="81"/>
            <rFont val="Tahoma"/>
            <family val="2"/>
          </rPr>
          <t xml:space="preserve">Mole weight of HCN is 27 and 26 for CN. CN will contribute to particle mass as CN-.
</t>
        </r>
      </text>
    </comment>
    <comment ref="G225" authorId="0">
      <text>
        <r>
          <rPr>
            <sz val="9"/>
            <color indexed="81"/>
            <rFont val="Tahoma"/>
            <family val="2"/>
          </rPr>
          <t xml:space="preserve">Mole weight of HCN is 27 and 26 for CN. CN will contribute to particle mass as CN-.
</t>
        </r>
      </text>
    </comment>
    <comment ref="G226" authorId="0">
      <text>
        <r>
          <rPr>
            <sz val="9"/>
            <color indexed="81"/>
            <rFont val="Tahoma"/>
            <family val="2"/>
          </rPr>
          <t xml:space="preserve">Mole weight of HCN is 27 and 26 for CN. CN will contribute to particle mass as CN-.
</t>
        </r>
      </text>
    </comment>
    <comment ref="G227" authorId="0">
      <text>
        <r>
          <rPr>
            <sz val="9"/>
            <color indexed="81"/>
            <rFont val="Tahoma"/>
            <family val="2"/>
          </rPr>
          <t xml:space="preserve">Mole weight of HCN is 27 and 26 for CN. CN will contribute to particle mass as CN-.
</t>
        </r>
      </text>
    </comment>
    <comment ref="G228" authorId="0">
      <text>
        <r>
          <rPr>
            <sz val="9"/>
            <color indexed="81"/>
            <rFont val="Tahoma"/>
            <family val="2"/>
          </rPr>
          <t xml:space="preserve">Mole weight of HCN is 27 and 26 for CN. CN will contribute to particle mass as CN-.
</t>
        </r>
      </text>
    </comment>
    <comment ref="G229" authorId="0">
      <text>
        <r>
          <rPr>
            <sz val="9"/>
            <color indexed="81"/>
            <rFont val="Tahoma"/>
            <family val="2"/>
          </rPr>
          <t>Acidification potential for HBr in SO2 equivalents</t>
        </r>
      </text>
    </comment>
    <comment ref="G230" authorId="0">
      <text>
        <r>
          <rPr>
            <sz val="9"/>
            <color indexed="81"/>
            <rFont val="Tahoma"/>
            <family val="2"/>
          </rPr>
          <t>Acidification potential for HBr in SO2 equivalents</t>
        </r>
      </text>
    </comment>
    <comment ref="G231" authorId="0">
      <text>
        <r>
          <rPr>
            <sz val="9"/>
            <color indexed="81"/>
            <rFont val="Tahoma"/>
            <family val="2"/>
          </rPr>
          <t>Acidification potential for HBr in SO2 equivalents</t>
        </r>
      </text>
    </comment>
    <comment ref="E234" authorId="0">
      <text>
        <r>
          <rPr>
            <sz val="9"/>
            <color indexed="81"/>
            <rFont val="Tahoma"/>
            <family val="2"/>
          </rPr>
          <t xml:space="preserve">Risk assessments are available from USA estimating YOLL from ozone to 36000/year at a mean ozone concernation of 48 ppb (Neal Fann,∗ Amy D. Lamson, Susan C. Anenberg, Karen Wesson, David Risley, and Bryan J. Hubbell, Estimating the National Public Health Burden Associated with Exposure to Ambient PM2.5 and Ozone, 0272-4332/11/0100-0001$22.00/1 C   2011 Society for Risk Analysis, DOI: 10.1111/j.1539-6924.2011.01630.x)
Scaling up these estimates to a global level with an estimated similar  average concentration, 36000/314*7200 YOLLs per year in obtained totally from ozone.
</t>
        </r>
      </text>
    </comment>
    <comment ref="F234" authorId="0">
      <text>
        <r>
          <rPr>
            <sz val="9"/>
            <color indexed="81"/>
            <rFont val="Tahoma"/>
            <family val="2"/>
          </rPr>
          <t xml:space="preserve">Upscaling involves some uncertainty as well as the use of a correlation where other substances are present for risk estimates. Which ozone measure that is most relevant is also subject for discussion in literature.
</t>
        </r>
      </text>
    </comment>
    <comment ref="G234" authorId="0">
      <text>
        <r>
          <rPr>
            <sz val="9"/>
            <color indexed="81"/>
            <rFont val="Tahoma"/>
            <family val="2"/>
          </rPr>
          <t>AR5 WG1 Ch8, Table 8.1 Estimates  the ozone sources to between 3800 and 5100 Tg/yr. Herethe figure of 4500 is used a a best estimate.</t>
        </r>
      </text>
    </comment>
    <comment ref="G235" authorId="0">
      <text>
        <r>
          <rPr>
            <sz val="9"/>
            <color indexed="81"/>
            <rFont val="Tahoma"/>
            <family val="2"/>
          </rPr>
          <t>AR5 WG1 Ch8, Table 8.1 Estimates  the ozone sources to between 3800 and 5100 Tg/yr. Herethe figure of 4500 is used a a best estimate.</t>
        </r>
      </text>
    </comment>
    <comment ref="G236" authorId="0">
      <text>
        <r>
          <rPr>
            <sz val="9"/>
            <color indexed="81"/>
            <rFont val="Tahoma"/>
            <family val="2"/>
          </rPr>
          <t xml:space="preserve">GWP for ozone is not published, but it is estimated to 0.44 from the RF from ozone (0.4 W/m2), its concenration (40 ppb) and its residence time 23 days (AR5 WG1 Ch 8, p 670) compared to RF, concentration and residence time from CO2 (1.7 W/m2, 390 ppm and about 300 years)
</t>
        </r>
      </text>
    </comment>
    <comment ref="G237" authorId="0">
      <text>
        <r>
          <rPr>
            <sz val="9"/>
            <color indexed="81"/>
            <rFont val="Tahoma"/>
            <family val="2"/>
          </rPr>
          <t xml:space="preserve">GWP for ozone is not published, but it is estimated to 0.44 from the RF from ozone (0.4 W/m2), its concenration (40 ppb) and its residence time 23 days (AR5 WG1 Ch 8, p 670) compared to RF, concentration and residence time from CO2 (1.7 W/m2, 390 ppm and about 300 years)
</t>
        </r>
      </text>
    </comment>
    <comment ref="G238" authorId="0">
      <text>
        <r>
          <rPr>
            <sz val="9"/>
            <color indexed="81"/>
            <rFont val="Tahoma"/>
            <family val="2"/>
          </rPr>
          <t xml:space="preserve">GWP for ozone is not published, but it is estimated to 0.44 from the RF from ozone (0.4 W/m2), its concenration (40 ppb) and its residence time 23 days (AR5 WG1 Ch 8, p 670) compared to RF, concentration and residence time from CO2 (1.7 W/m2, 390 ppm and about 300 years)
</t>
        </r>
      </text>
    </comment>
    <comment ref="D239" authorId="0">
      <text>
        <r>
          <rPr>
            <sz val="9"/>
            <color indexed="81"/>
            <rFont val="Tahoma"/>
            <family val="2"/>
          </rPr>
          <t xml:space="preserve">temperature, draught, extreme temperature and precipitation, CO2 concentration
</t>
        </r>
      </text>
    </comment>
    <comment ref="G239" authorId="0">
      <text>
        <r>
          <rPr>
            <sz val="9"/>
            <color indexed="81"/>
            <rFont val="Tahoma"/>
            <family val="2"/>
          </rPr>
          <t xml:space="preserve">GWP for ozone is not published, but it is estimated to 0.44 from the RF from ozone (0.4 W/m2), its concenration (40 ppb) and its residence time 23 days (AR5 WG1 Ch 8, p 670) compared to RF, concentration and residence time from CO2 (1.7 W/m2, 390 ppm and about 300 years)
</t>
        </r>
      </text>
    </comment>
    <comment ref="G240" authorId="0">
      <text>
        <r>
          <rPr>
            <sz val="9"/>
            <color indexed="81"/>
            <rFont val="Tahoma"/>
            <family val="2"/>
          </rPr>
          <t xml:space="preserve">GWP for ozone is not published, but it is estimated to 0.44 from the RF from ozone (0.4 W/m2), its concenration (40 ppb) and its residence time 23 days (AR5 WG1 Ch 8, p 670) compared to RF, concentration and residence time from CO2 (1.7 W/m2, 390 ppm and about 300 years)
</t>
        </r>
      </text>
    </comment>
    <comment ref="G241" authorId="0">
      <text>
        <r>
          <rPr>
            <sz val="9"/>
            <color indexed="81"/>
            <rFont val="Tahoma"/>
            <family val="2"/>
          </rPr>
          <t>AR5 WG1 Ch8, Table 8.1 Estimates  the ozone sources to between 3800 and 5100 Tg/yr. Herethe figure of 4500 is used a a best estimate.</t>
        </r>
      </text>
    </comment>
    <comment ref="G242" authorId="0">
      <text>
        <r>
          <rPr>
            <sz val="9"/>
            <color indexed="81"/>
            <rFont val="Tahoma"/>
            <family val="2"/>
          </rPr>
          <t xml:space="preserve">GWP for ozone is not published, but it is estimated to 0.44 from the RF from ozone (0.4 W/m2), its concenration (40 ppb) and its residence time 23 days (AR5 WG1 Ch 8, p 670) compared to RF, concentration and residence time from CO2 (1.7 W/m2, 390 ppm and about 300 years)
</t>
        </r>
      </text>
    </comment>
    <comment ref="G243" authorId="0">
      <text>
        <r>
          <rPr>
            <sz val="9"/>
            <color indexed="81"/>
            <rFont val="Tahoma"/>
            <family val="2"/>
          </rPr>
          <t xml:space="preserve">GWP for ozone is not published, but it is estimated to 0.44 from the RF from ozone (0.4 W/m2), its concenration (40 ppb) and its residence time 23 days (AR5 WG1 Ch 8, p 670) compared to RF, concentration and residence time from CO2 (1.7 W/m2, 390 ppm and about 300 years)
</t>
        </r>
      </text>
    </comment>
    <comment ref="G244" authorId="0">
      <text>
        <r>
          <rPr>
            <sz val="9"/>
            <color indexed="81"/>
            <rFont val="Tahoma"/>
            <family val="2"/>
          </rPr>
          <t xml:space="preserve">GWP for ozone is not published, but it is estimated to 0.44 from the RF from ozone (0.4 W/m2), its concenration (40 ppb) and its residence time 23 days (AR5 WG1 Ch 8, p 670) compared to RF, concentration and residence time from CO2 (1.7 W/m2, 390 ppm and about 300 years)
</t>
        </r>
      </text>
    </comment>
    <comment ref="G245" authorId="0">
      <text>
        <r>
          <rPr>
            <sz val="9"/>
            <color indexed="81"/>
            <rFont val="Tahoma"/>
            <family val="2"/>
          </rPr>
          <t xml:space="preserve">GWP for ozone is not published, but it is estimated to 0.44 from the RF from ozone (0.4 W/m2), its concenration (40 ppb) and its residence time 23 days (AR5 WG1 Ch 8, p 670) compared to RF, concentration and residence time from CO2 (1.7 W/m2, 390 ppm and about 300 years)
</t>
        </r>
      </text>
    </comment>
    <comment ref="G246" authorId="0">
      <text>
        <r>
          <rPr>
            <sz val="9"/>
            <color indexed="81"/>
            <rFont val="Tahoma"/>
            <family val="2"/>
          </rPr>
          <t xml:space="preserve">GWP for ozone is not published, but it is estimated to 0.44 from the RF from ozone (0.4 W/m2), its concenration (40 ppb) and its residence time 23 days (AR5 WG1 Ch 8, p 670) compared to RF, concentration and residence time from CO2 (1.7 W/m2, 390 ppm and about 300 years)
</t>
        </r>
      </text>
    </comment>
    <comment ref="G247" authorId="0">
      <text>
        <r>
          <rPr>
            <sz val="9"/>
            <color indexed="81"/>
            <rFont val="Tahoma"/>
            <family val="2"/>
          </rPr>
          <t xml:space="preserve">GWP for ozone is not published, but it is estimated to 0.44 from the RF from ozone (0.4 W/m2), its concenration (40 ppb) and its residence time 23 days (AR5 WG1 Ch 8, p 670) compared to RF, concentration and residence time from CO2 (1.7 W/m2, 390 ppm and about 300 years)
</t>
        </r>
      </text>
    </comment>
    <comment ref="G248" authorId="0">
      <text>
        <r>
          <rPr>
            <sz val="9"/>
            <color indexed="81"/>
            <rFont val="Tahoma"/>
            <family val="2"/>
          </rPr>
          <t xml:space="preserve">GWP for ozone is not published, but it is estimated to 0.44 from the RF from ozone (0.4 W/m2), its concenration (40 ppb) and its residence time 23 days (AR5 WG1 Ch 8, p 670) compared to RF, concentration and residence time from CO2 (1.7 W/m2, 390 ppm and about 300 years)
</t>
        </r>
      </text>
    </comment>
    <comment ref="G249" authorId="0">
      <text>
        <r>
          <rPr>
            <sz val="9"/>
            <color indexed="81"/>
            <rFont val="Tahoma"/>
            <family val="2"/>
          </rPr>
          <t xml:space="preserve">GWP for ozone is not published, but it is estimated to 0.44 from the RF from ozone (0.4 W/m2), its concenration (40 ppb) and its residence time 23 days (AR5 WG1 Ch 8, p 670) compared to RF, concentration and residence time from CO2 (1.7 W/m2, 390 ppm and about 300 years)
</t>
        </r>
      </text>
    </comment>
    <comment ref="G250" authorId="0">
      <text>
        <r>
          <rPr>
            <sz val="9"/>
            <color indexed="81"/>
            <rFont val="Tahoma"/>
            <family val="2"/>
          </rPr>
          <t xml:space="preserve">GWP for ozone is not published, but it is estimated to 0.44 from the RF from ozone (0.4 W/m2), its concenration (40 ppb) and its residence time 23 days (AR5 WG1 Ch 8, p 670) compared to RF, concentration and residence time from CO2 (1.7 W/m2, 390 ppm and about 300 years)
</t>
        </r>
      </text>
    </comment>
  </commentList>
</comments>
</file>

<file path=xl/comments8.xml><?xml version="1.0" encoding="utf-8"?>
<comments xmlns="http://schemas.openxmlformats.org/spreadsheetml/2006/main">
  <authors>
    <author>Bengt Steen</author>
  </authors>
  <commentList>
    <comment ref="F1" authorId="0">
      <text>
        <r>
          <rPr>
            <sz val="9"/>
            <color indexed="81"/>
            <rFont val="Tahoma"/>
            <family val="2"/>
          </rPr>
          <t>If not specifically noted, the uncertaitny is expressed as a factor equal ti one standard deviation in a log normal distribution</t>
        </r>
      </text>
    </comment>
    <comment ref="H1" authorId="0">
      <text>
        <r>
          <rPr>
            <sz val="9"/>
            <color indexed="81"/>
            <rFont val="Tahoma"/>
            <family val="2"/>
          </rPr>
          <t>If not specifically noted, the uncertaitny is expressed as a factor equal ti one standard deviation in a log normal distribution</t>
        </r>
      </text>
    </comment>
    <comment ref="E4" authorId="0">
      <text>
        <r>
          <rPr>
            <sz val="9"/>
            <color indexed="81"/>
            <rFont val="Tahoma"/>
            <family val="2"/>
          </rPr>
          <t xml:space="preserve"> Marginal household soiling damages attributable to air particulates are estimated at 6.63 $/household per micrograms per cubic meter TSP. (1980 $) ( Cummings, H.S. Burness and R.D. Norton, University of New Mexico METHODS DEVELOPMENT FOR ENVIRONMENTALCON TROL BENEFITS ASSESSMENT Volume V, MEASURING HOUSEHOLD SOILING DAMAGES FROM SUSPENDED PARTICULATES: A METHODOLOGICAL INQUIRY, USEPA, National Center for Environmental Economics
EPA-230-12-85-023 September 1985)
It is not clear from the report which hourly cost for work, that has been used but it seemms as it is comparatively low (minimal wage for women),. 1 personhour per ug/m3 is assumed. It is further assumed that globally there are about 2 billion housholds. The average TSP concenration is around twice the concentration of PM10, i.e 100 ug/m3</t>
        </r>
      </text>
    </comment>
    <comment ref="F4" authorId="0">
      <text>
        <r>
          <rPr>
            <sz val="9"/>
            <color indexed="81"/>
            <rFont val="Tahoma"/>
            <family val="2"/>
          </rPr>
          <t xml:space="preserve">The USEPA study on soiling costs is not directly transferable to other countries and the extra time spent on cleaning and other surface treatments is only relevant for marginal changes in TSP and probably not linear against TSP concentration. 
</t>
        </r>
      </text>
    </comment>
    <comment ref="G4" authorId="0">
      <text>
        <r>
          <rPr>
            <sz val="9"/>
            <color indexed="81"/>
            <rFont val="Tahoma"/>
            <family val="2"/>
          </rPr>
          <t xml:space="preserve">The global emission of PM10 is 65 Tg/year. If TSP concentration is about the double the emission of PM&gt;10 is at least the same. It should be higher as the residence time of large particles are less than that of small particles. Here, it is assumed to be 100 Tg/year. The contribution from fugitive emissions are further
</t>
        </r>
      </text>
    </comment>
    <comment ref="H4" authorId="0">
      <text>
        <r>
          <rPr>
            <sz val="9"/>
            <color indexed="81"/>
            <rFont val="Tahoma"/>
            <family val="2"/>
          </rPr>
          <t xml:space="preserve">This is an extremely uncertain estimation because the emission of particles above 10 </t>
        </r>
        <r>
          <rPr>
            <sz val="9"/>
            <color indexed="81"/>
            <rFont val="Albertus MT"/>
            <family val="1"/>
          </rPr>
          <t>μ</t>
        </r>
        <r>
          <rPr>
            <sz val="9"/>
            <color indexed="81"/>
            <rFont val="Tahoma"/>
            <family val="2"/>
          </rPr>
          <t>m is mostly fugitive dust, which has very local impacts. Although most of the particels found on a window and contributing to soiling are above 10 μm, some of them are aggregates of smaller particles and it is unclear to what extent emissions of PM10 and PM2.5 contributes.</t>
        </r>
        <r>
          <rPr>
            <sz val="9"/>
            <color indexed="81"/>
            <rFont val="Tahoma"/>
            <family val="2"/>
          </rPr>
          <t xml:space="preserve">
</t>
        </r>
      </text>
    </comment>
    <comment ref="E6" authorId="0">
      <text>
        <r>
          <rPr>
            <sz val="9"/>
            <color indexed="81"/>
            <rFont val="Tahoma"/>
            <family val="2"/>
          </rPr>
          <t>Steen, CPM report 1999:5, page 223</t>
        </r>
      </text>
    </comment>
    <comment ref="G6" authorId="0">
      <text>
        <r>
          <rPr>
            <sz val="9"/>
            <color indexed="81"/>
            <rFont val="Tahoma"/>
            <family val="2"/>
          </rPr>
          <t>Global emission of PM10 was 63 Tg 2005 according to http://edgar.jrc.ec.europa.eu/national_reported_data/htap.php. The trend was extrapolated to 65 Tg 2010. Primary emissions account for about 40% of PM10 in ambient air. (Gugamsetty et al, Aerosol and Air Quality Research, 12: 476–491, 2012)</t>
        </r>
      </text>
    </comment>
    <comment ref="E7" authorId="0">
      <text>
        <r>
          <rPr>
            <sz val="9"/>
            <color indexed="81"/>
            <rFont val="Tahoma"/>
            <family val="2"/>
          </rPr>
          <t>Global average PM10 concentration is 61 μg/m3 and for PM2.5 about 40 μg/m3. According to Pope et al 2009, (Fine-Particulate Air Pollution and Life Expectancy in the United States, the New England Journal of Medicine), the marginal reduction of life expectancy is 0.61 year per 10</t>
        </r>
        <r>
          <rPr>
            <sz val="9"/>
            <color indexed="81"/>
            <rFont val="Albertus MT"/>
            <family val="1"/>
          </rPr>
          <t>μ</t>
        </r>
        <r>
          <rPr>
            <sz val="9"/>
            <color indexed="81"/>
            <rFont val="Tahoma"/>
            <family val="2"/>
          </rPr>
          <t>g/m3 PM2.5. With an average life expectancy of 75 years and 
7.2 billion inhabitants globally, we get total YOLL of 40/10*0,61/75*7200000000</t>
        </r>
      </text>
    </comment>
    <comment ref="F7" authorId="0">
      <text>
        <r>
          <rPr>
            <sz val="9"/>
            <color indexed="81"/>
            <rFont val="Tahoma"/>
            <family val="2"/>
          </rPr>
          <t xml:space="preserve">There is an uncertainty to how representative US values are to the world, partly because of population uncertainty and partly because of aorosol properties.
</t>
        </r>
      </text>
    </comment>
    <comment ref="G7" authorId="0">
      <text>
        <r>
          <rPr>
            <sz val="9"/>
            <color indexed="81"/>
            <rFont val="Tahoma"/>
            <family val="2"/>
          </rPr>
          <t>Global emission of PM10 was 63 Tg 2005 according to http://edgar.jrc.ec.europa.eu/national_reported_data/htap.php. The trend was extrapolated to 65 Tg 2010. Primary emissions account for about 40% of PM10 in ambient air. (Gugamsetty et al, Aerosol and Air Quality Research, 12: 476–491, 2012). The contribution to the environmental impact is therefore 0.4/6.5E10</t>
        </r>
      </text>
    </comment>
    <comment ref="H7" authorId="0">
      <text>
        <r>
          <rPr>
            <sz val="9"/>
            <color indexed="81"/>
            <rFont val="Tahoma"/>
            <family val="2"/>
          </rPr>
          <t>The population exposure varies sunstatially as the particle residence time is low and different particle compositions contribute differently to the effect.
The fact that the effect is life-long decreases the uncertainty.</t>
        </r>
      </text>
    </comment>
    <comment ref="G8" authorId="0">
      <text>
        <r>
          <rPr>
            <sz val="9"/>
            <color indexed="81"/>
            <rFont val="Tahoma"/>
            <family val="2"/>
          </rPr>
          <t>GWP for PM10 is estimated to -102 by a simplified model based on radiative forcing estimations in AR5 WG1 chapter 8 (Table 8.4) and global emissions.
The simplified model:  GWP</t>
        </r>
        <r>
          <rPr>
            <sz val="8"/>
            <color indexed="81"/>
            <rFont val="Tahoma"/>
            <family val="2"/>
          </rPr>
          <t>PM2.5</t>
        </r>
        <r>
          <rPr>
            <sz val="9"/>
            <color indexed="81"/>
            <rFont val="Tahoma"/>
            <family val="2"/>
          </rPr>
          <t>*Global yearly PM2.5 emission*1/(primary particles share of ambient aerosol) = RF2.5/RFCO2*global yearly CO2 emission, i.e. GWPPM2.5 = RF2.5/RFCO2*global CO2 emission /Global PM2.5 emission*primary particle share.
The simplified model was checked for Black Carbon aerosol, which in AR5 Wgi chapter 8 has a GWP of 658. The model gave a GWP of 687.
It is mainly the PM2.5 part of the aerosol that contributes to scattering and absorption of light. The global emissions of PM2.5 and PM10 are estimated to 4.2E10 and 6.3E10 kg/year. Therfore the GWP is reduced by a factor 4.2/6.3. The GWP for PM2.5 is -153.</t>
        </r>
      </text>
    </comment>
    <comment ref="B10" authorId="0">
      <text>
        <r>
          <rPr>
            <sz val="9"/>
            <color indexed="81"/>
            <rFont val="Tahoma"/>
            <family val="2"/>
          </rPr>
          <t>asthma cases are used as a proxy for the acute decreased lung capacity at episodes of exposure to higgh particle concentration</t>
        </r>
      </text>
    </comment>
    <comment ref="E10" authorId="0">
      <text>
        <r>
          <rPr>
            <sz val="9"/>
            <color indexed="81"/>
            <rFont val="Tahoma"/>
            <family val="2"/>
          </rPr>
          <t xml:space="preserve">Most of the studies on this issue were made in the 1990ies and before. Therfore the data from Steen, CPM report 1999:5 are used. (Available at lifecyclecenter.se)
</t>
        </r>
      </text>
    </comment>
    <comment ref="F10" authorId="0">
      <text>
        <r>
          <rPr>
            <sz val="9"/>
            <color indexed="81"/>
            <rFont val="Tahoma"/>
            <family val="2"/>
          </rPr>
          <t xml:space="preserve">There is an uncertainty in to what extent a hospital visit measures the extent of the effect, and an uncertainty about the global representativeness of the sensitivity data.
</t>
        </r>
      </text>
    </comment>
    <comment ref="G10" authorId="0">
      <text>
        <r>
          <rPr>
            <sz val="9"/>
            <color indexed="81"/>
            <rFont val="Tahoma"/>
            <family val="2"/>
          </rPr>
          <t>Global emission of PM10 was 63 Tg 2005 according to http://edgar.jrc.ec.europa.eu/national_reported_data/htap.php. The trend was extrapolated to 65 Tg 2010. Primary emissions account for about 40% of PM10 in ambient air. (Gugamsetty et al, Aerosol and Air Quality Research, 12: 476–491, 2012)</t>
        </r>
      </text>
    </comment>
    <comment ref="E11" authorId="0">
      <text>
        <r>
          <rPr>
            <sz val="9"/>
            <color indexed="81"/>
            <rFont val="Tahoma"/>
            <family val="2"/>
          </rPr>
          <t>"In 2008, there were about 822,500 hospital stays for chronic obstructive pulmonary disease (COPD) among adults age 40 years and older. In addition, another 3.8 million hospital stays included COPD as a secondary, or complicating, condition during an admission for some other problem.---with a 4.8 day mean length of hospitalization " from Overview of Hospitalizations among Patients with COPD, 2008
Statistical Brief #106 Lauren M Wier, MPH, Anne Elixhauser, PhD, Anne Pfuntner, BUEP, and David H Au, MD, MS. Published: February 2011. U.S. Department of Health &amp; Human Services, Agency for health care and quality research.
Accessed at http://www.ncbi.nlm.nih.gov/books/NBK53969/
To get a global estimate, the figure is scaled up to the global poulation.</t>
        </r>
      </text>
    </comment>
    <comment ref="G11" authorId="0">
      <text>
        <r>
          <rPr>
            <sz val="9"/>
            <color indexed="81"/>
            <rFont val="Tahoma"/>
            <family val="2"/>
          </rPr>
          <t>Global emission of PM10 was 63 Tg 2005 according to http://edgar.jrc.ec.europa.eu/national_reported_data/htap.php. The trend was extrapolated to 65 Tg 2010. Primary emissions account for about 40% of PM10 in ambient air. (Gugamsetty et al, Aerosol and Air Quality Research, 12: 476–491, 2012)</t>
        </r>
      </text>
    </comment>
    <comment ref="G12" authorId="0">
      <text>
        <r>
          <rPr>
            <sz val="9"/>
            <color indexed="81"/>
            <rFont val="Tahoma"/>
            <family val="2"/>
          </rPr>
          <t>GWP for PM10 is estimated to -102 by a simplified model based on radiative forcing estimations in AR5 WG1 chapter 8 (Table 8.4) and global emissions.
The simplified model:  GWP</t>
        </r>
        <r>
          <rPr>
            <sz val="8"/>
            <color indexed="81"/>
            <rFont val="Tahoma"/>
            <family val="2"/>
          </rPr>
          <t>PM2.5</t>
        </r>
        <r>
          <rPr>
            <sz val="9"/>
            <color indexed="81"/>
            <rFont val="Tahoma"/>
            <family val="2"/>
          </rPr>
          <t>*Global yearly PM2.5 emission*1/(primary particles share of ambient aerosol) = RF2.5/RFCO2*global yearly CO2 emission, i.e. GWPPM2.5 = RF2.5/RFCO2*global CO2 emission /Global PM2.5 emission*primary particle share.
The simplified model was checked for Black Carbon aerosol, which in AR5 Wgi chapter 8 has a GWP of 658. The model gave a GWP of 687.
It is mainly the PM2.5 part of the aerosol that contributes to scattering and absorption of light. The global emissions of PM2.5 and PM10 are estimated to 4.2E10 and 6.3E10 kg/year. Therfore the GWP is reduced by a factor 4.2/6.3. The GWP for PM2.5 is -153.</t>
        </r>
      </text>
    </comment>
    <comment ref="G13" authorId="0">
      <text>
        <r>
          <rPr>
            <sz val="9"/>
            <color indexed="81"/>
            <rFont val="Tahoma"/>
            <family val="2"/>
          </rPr>
          <t>GWP for PM10 is estimated to -102 by a simplified model based on radiative forcing estimations in AR5 WG1 chapter 8 (Table 8.4) and global emissions.
The simplified model:  GWP</t>
        </r>
        <r>
          <rPr>
            <sz val="8"/>
            <color indexed="81"/>
            <rFont val="Tahoma"/>
            <family val="2"/>
          </rPr>
          <t>PM2.5</t>
        </r>
        <r>
          <rPr>
            <sz val="9"/>
            <color indexed="81"/>
            <rFont val="Tahoma"/>
            <family val="2"/>
          </rPr>
          <t>*Global yearly PM2.5 emission*1/(primary particles share of ambient aerosol) = RF2.5/RFCO2*global yearly CO2 emission, i.e. GWPPM2.5 = RF2.5/RFCO2*global CO2 emission /Global PM2.5 emission*primary particle share.
The simplified model was checked for Black Carbon aerosol, which in AR5 Wgi chapter 8 has a GWP of 658. The model gave a GWP of 687.
It is mainly the PM2.5 part of the aerosol that contributes to scattering and absorption of light. The global emissions of PM2.5 and PM10 are estimated to 4.2E10 and 6.3E10 kg/year. Therfore the GWP is reduced by a factor 4.2/6.3. The GWP for PM2.5 is -153.</t>
        </r>
      </text>
    </comment>
    <comment ref="G14" authorId="0">
      <text>
        <r>
          <rPr>
            <sz val="9"/>
            <color indexed="81"/>
            <rFont val="Tahoma"/>
            <family val="2"/>
          </rPr>
          <t>GWP for PM10 is estimated to -102 by a simplified model based on radiative forcing estimations in AR5 WG1 chapter 8 (Table 8.4) and global emissions.
The simplified model:  GWP</t>
        </r>
        <r>
          <rPr>
            <sz val="8"/>
            <color indexed="81"/>
            <rFont val="Tahoma"/>
            <family val="2"/>
          </rPr>
          <t>PM2.5</t>
        </r>
        <r>
          <rPr>
            <sz val="9"/>
            <color indexed="81"/>
            <rFont val="Tahoma"/>
            <family val="2"/>
          </rPr>
          <t>*Global yearly PM2.5 emission*1/(primary particles share of ambient aerosol) = RF2.5/RFCO2*global yearly CO2 emission, i.e. GWPPM2.5 = RF2.5/RFCO2*global CO2 emission /Global PM2.5 emission*primary particle share.
The simplified model was checked for Black Carbon aerosol, which in AR5 Wgi chapter 8 has a GWP of 658. The model gave a GWP of 687.
It is mainly the PM2.5 part of the aerosol that contributes to scattering and absorption of light. The global emissions of PM2.5 and PM10 are estimated to 4.2E10 and 6.3E10 kg/year. Therfore the GWP is reduced by a factor 4.2/6.3. The GWP for PM2.5 is -153.</t>
        </r>
      </text>
    </comment>
    <comment ref="G15" authorId="0">
      <text>
        <r>
          <rPr>
            <sz val="9"/>
            <color indexed="81"/>
            <rFont val="Tahoma"/>
            <family val="2"/>
          </rPr>
          <t>GWP for PM10 is estimated to -102 by a simplified model based on radiative forcing estimations in AR5 WG1 chapter 8 (Table 8.4) and global emissions.
The simplified model:  GWP</t>
        </r>
        <r>
          <rPr>
            <sz val="8"/>
            <color indexed="81"/>
            <rFont val="Tahoma"/>
            <family val="2"/>
          </rPr>
          <t>PM2.5</t>
        </r>
        <r>
          <rPr>
            <sz val="9"/>
            <color indexed="81"/>
            <rFont val="Tahoma"/>
            <family val="2"/>
          </rPr>
          <t>*Global yearly PM2.5 emission*1/(primary particles share of ambient aerosol) = RF2.5/RFCO2*global yearly CO2 emission, i.e. GWPPM2.5 = RF2.5/RFCO2*global CO2 emission /Global PM2.5 emission*primary particle share.
The simplified model was checked for Black Carbon aerosol, which in AR5 Wgi chapter 8 has a GWP of 658. The model gave a GWP of 687.
It is mainly the PM2.5 part of the aerosol that contributes to scattering and absorption of light. The global emissions of PM2.5 and PM10 are estimated to 4.2E10 and 6.3E10 kg/year. Therfore the GWP is reduced by a factor 4.2/6.3. The GWP for PM2.5 is -153.</t>
        </r>
      </text>
    </comment>
    <comment ref="G16" authorId="0">
      <text>
        <r>
          <rPr>
            <sz val="9"/>
            <color indexed="81"/>
            <rFont val="Tahoma"/>
            <family val="2"/>
          </rPr>
          <t>GWP for PM10 is estimated to -102 by a simplified model based on radiative forcing estimations in AR5 WG1 chapter 8 (Table 8.4) and global emissions.
The simplified model:  GWP</t>
        </r>
        <r>
          <rPr>
            <sz val="8"/>
            <color indexed="81"/>
            <rFont val="Tahoma"/>
            <family val="2"/>
          </rPr>
          <t>PM2.5</t>
        </r>
        <r>
          <rPr>
            <sz val="9"/>
            <color indexed="81"/>
            <rFont val="Tahoma"/>
            <family val="2"/>
          </rPr>
          <t>*Global yearly PM2.5 emission*1/(primary particles share of ambient aerosol) = RF2.5/RFCO2*global yearly CO2 emission, i.e. GWPPM2.5 = RF2.5/RFCO2*global CO2 emission /Global PM2.5 emission*primary particle share.
The simplified model was checked for Black Carbon aerosol, which in AR5 Wgi chapter 8 has a GWP of 658. The model gave a GWP of 687.
It is mainly the PM2.5 part of the aerosol that contributes to scattering and absorption of light. The global emissions of PM2.5 and PM10 are estimated to 4.2E10 and 6.3E10 kg/year. Therfore the GWP is reduced by a factor 4.2/6.3. The GWP for PM2.5 is -153.</t>
        </r>
      </text>
    </comment>
    <comment ref="G17" authorId="0">
      <text>
        <r>
          <rPr>
            <sz val="9"/>
            <color indexed="81"/>
            <rFont val="Tahoma"/>
            <family val="2"/>
          </rPr>
          <t>GWP for PM10 is estimated to -102 by a simplified model based on radiative forcing estimations in AR5 WG1 chapter 8 (Table 8.4) and global emissions.
The simplified model:  GWP</t>
        </r>
        <r>
          <rPr>
            <sz val="8"/>
            <color indexed="81"/>
            <rFont val="Tahoma"/>
            <family val="2"/>
          </rPr>
          <t>PM2.5</t>
        </r>
        <r>
          <rPr>
            <sz val="9"/>
            <color indexed="81"/>
            <rFont val="Tahoma"/>
            <family val="2"/>
          </rPr>
          <t>*Global yearly PM2.5 emission*1/(primary particles share of ambient aerosol) = RF2.5/RFCO2*global yearly CO2 emission, i.e. GWPPM2.5 = RF2.5/RFCO2*global CO2 emission /Global PM2.5 emission*primary particle share.
The simplified model was checked for Black Carbon aerosol, which in AR5 Wgi chapter 8 has a GWP of 658. The model gave a GWP of 687.
It is mainly the PM2.5 part of the aerosol that contributes to scattering and absorption of light. The global emissions of PM2.5 and PM10 are estimated to 4.2E10 and 6.3E10 kg/year. Therfore the GWP is reduced by a factor 4.2/6.3. The GWP for PM2.5 is -153.</t>
        </r>
      </text>
    </comment>
    <comment ref="G18" authorId="0">
      <text>
        <r>
          <rPr>
            <sz val="9"/>
            <color indexed="81"/>
            <rFont val="Tahoma"/>
            <family val="2"/>
          </rPr>
          <t>GWP for PM10 is estimated to -102 by a simplified model based on radiative forcing estimations in AR5 WG1 chapter 8 (Table 8.4) and global emissions.
The simplified model:  GWP</t>
        </r>
        <r>
          <rPr>
            <sz val="8"/>
            <color indexed="81"/>
            <rFont val="Tahoma"/>
            <family val="2"/>
          </rPr>
          <t>PM2.5</t>
        </r>
        <r>
          <rPr>
            <sz val="9"/>
            <color indexed="81"/>
            <rFont val="Tahoma"/>
            <family val="2"/>
          </rPr>
          <t>*Global yearly PM2.5 emission*1/(primary particles share of ambient aerosol) = RF2.5/RFCO2*global yearly CO2 emission, i.e. GWPPM2.5 = RF2.5/RFCO2*global CO2 emission /Global PM2.5 emission*primary particle share.
The simplified model was checked for Black Carbon aerosol, which in AR5 Wgi chapter 8 has a GWP of 658. The model gave a GWP of 687.
It is mainly the PM2.5 part of the aerosol that contributes to scattering and absorption of light. The global emissions of PM2.5 and PM10 are estimated to 4.2E10 and 6.3E10 kg/year. Therfore the GWP is reduced by a factor 4.2/6.3. The GWP for PM2.5 is -153.</t>
        </r>
      </text>
    </comment>
    <comment ref="G19" authorId="0">
      <text>
        <r>
          <rPr>
            <sz val="9"/>
            <color indexed="81"/>
            <rFont val="Tahoma"/>
            <family val="2"/>
          </rPr>
          <t>GWP for PM10 is estimated to -102 by a simplified model based on radiative forcing estimations in AR5 WG1 chapter 8 (Table 8.4) and global emissions.
The simplified model:  GWP</t>
        </r>
        <r>
          <rPr>
            <sz val="8"/>
            <color indexed="81"/>
            <rFont val="Tahoma"/>
            <family val="2"/>
          </rPr>
          <t>PM2.5</t>
        </r>
        <r>
          <rPr>
            <sz val="9"/>
            <color indexed="81"/>
            <rFont val="Tahoma"/>
            <family val="2"/>
          </rPr>
          <t>*Global yearly PM2.5 emission*1/(primary particles share of ambient aerosol) = RF2.5/RFCO2*global yearly CO2 emission, i.e. GWPPM2.5 = RF2.5/RFCO2*global CO2 emission /Global PM2.5 emission*primary particle share.
The simplified model was checked for Black Carbon aerosol, which in AR5 Wgi chapter 8 has a GWP of 658. The model gave a GWP of 687.
It is mainly the PM2.5 part of the aerosol that contributes to scattering and absorption of light. The global emissions of PM2.5 and PM10 are estimated to 4.2E10 and 6.3E10 kg/year. Therfore the GWP is reduced by a factor 4.2/6.3. The GWP for PM2.5 is -153.</t>
        </r>
      </text>
    </comment>
    <comment ref="G20" authorId="0">
      <text>
        <r>
          <rPr>
            <sz val="9"/>
            <color indexed="81"/>
            <rFont val="Tahoma"/>
            <family val="2"/>
          </rPr>
          <t>GWP for PM10 is estimated to -102 by a simplified model based on radiative forcing estimations in AR5 WG1 chapter 8 (Table 8.4) and global emissions.
The simplified model:  GWP</t>
        </r>
        <r>
          <rPr>
            <sz val="8"/>
            <color indexed="81"/>
            <rFont val="Tahoma"/>
            <family val="2"/>
          </rPr>
          <t>PM2.5</t>
        </r>
        <r>
          <rPr>
            <sz val="9"/>
            <color indexed="81"/>
            <rFont val="Tahoma"/>
            <family val="2"/>
          </rPr>
          <t>*Global yearly PM2.5 emission*1/(primary particles share of ambient aerosol) = RF2.5/RFCO2*global yearly CO2 emission, i.e. GWPPM2.5 = RF2.5/RFCO2*global CO2 emission /Global PM2.5 emission*primary particle share.
The simplified model was checked for Black Carbon aerosol, which in AR5 Wgi chapter 8 has a GWP of 658. The model gave a GWP of 687.
It is mainly the PM2.5 part of the aerosol that contributes to scattering and absorption of light. The global emissions of PM2.5 and PM10 are estimated to 4.2E10 and 6.3E10 kg/year. Therfore the GWP is reduced by a factor 4.2/6.3. The GWP for PM2.5 is -153.</t>
        </r>
      </text>
    </comment>
    <comment ref="G21" authorId="0">
      <text>
        <r>
          <rPr>
            <sz val="9"/>
            <color indexed="81"/>
            <rFont val="Tahoma"/>
            <family val="2"/>
          </rPr>
          <t>GWP for PM10 is estimated to -102 by a simplified model based on radiative forcing estimations in AR5 WG1 chapter 8 (Table 8.4) and global emissions.
The simplified model:  GWP</t>
        </r>
        <r>
          <rPr>
            <sz val="8"/>
            <color indexed="81"/>
            <rFont val="Tahoma"/>
            <family val="2"/>
          </rPr>
          <t>PM2.5</t>
        </r>
        <r>
          <rPr>
            <sz val="9"/>
            <color indexed="81"/>
            <rFont val="Tahoma"/>
            <family val="2"/>
          </rPr>
          <t>*Global yearly PM2.5 emission*1/(primary particles share of ambient aerosol) = RF2.5/RFCO2*global yearly CO2 emission, i.e. GWPPM2.5 = RF2.5/RFCO2*global CO2 emission /Global PM2.5 emission*primary particle share.
The simplified model was checked for Black Carbon aerosol, which in AR5 Wgi chapter 8 has a GWP of 658. The model gave a GWP of 687.
It is mainly the PM2.5 part of the aerosol that contributes to scattering and absorption of light. The global emissions of PM2.5 and PM10 are estimated to 4.2E10 and 6.3E10 kg/year. Therfore the GWP is reduced by a factor 4.2/6.3. The GWP for PM2.5 is -153.</t>
        </r>
      </text>
    </comment>
    <comment ref="G22" authorId="0">
      <text>
        <r>
          <rPr>
            <sz val="9"/>
            <color indexed="81"/>
            <rFont val="Tahoma"/>
            <family val="2"/>
          </rPr>
          <t>GWP for PM10 is estimated to -102 by a simplified model based on radiative forcing estimations in AR5 WG1 chapter 8 (Table 8.4) and global emissions.
The simplified model:  GWP</t>
        </r>
        <r>
          <rPr>
            <sz val="8"/>
            <color indexed="81"/>
            <rFont val="Tahoma"/>
            <family val="2"/>
          </rPr>
          <t>PM2.5</t>
        </r>
        <r>
          <rPr>
            <sz val="9"/>
            <color indexed="81"/>
            <rFont val="Tahoma"/>
            <family val="2"/>
          </rPr>
          <t>*Global yearly PM2.5 emission*1/(primary particles share of ambient aerosol) = RF2.5/RFCO2*global yearly CO2 emission, i.e. GWPPM2.5 = RF2.5/RFCO2*global CO2 emission /Global PM2.5 emission*primary particle share.
The simplified model was checked for Black Carbon aerosol, which in AR5 Wgi chapter 8 has a GWP of 658. The model gave a GWP of 687.
It is mainly the PM2.5 part of the aerosol that contributes to scattering and absorption of light. The global emissions of PM2.5 and PM10 are estimated to 4.2E10 and 6.3E10 kg/year. Therfore the GWP is reduced by a factor 4.2/6.3. The GWP for PM2.5 is -153.</t>
        </r>
      </text>
    </comment>
    <comment ref="G23" authorId="0">
      <text>
        <r>
          <rPr>
            <sz val="9"/>
            <color indexed="81"/>
            <rFont val="Tahoma"/>
            <family val="2"/>
          </rPr>
          <t>GWP for PM10 is estimated to -102 by a simplified model based on radiative forcing estimations in AR5 WG1 chapter 8 (Table 8.4) and global emissions.
The simplified model:  GWP</t>
        </r>
        <r>
          <rPr>
            <sz val="8"/>
            <color indexed="81"/>
            <rFont val="Tahoma"/>
            <family val="2"/>
          </rPr>
          <t>PM2.5</t>
        </r>
        <r>
          <rPr>
            <sz val="9"/>
            <color indexed="81"/>
            <rFont val="Tahoma"/>
            <family val="2"/>
          </rPr>
          <t>*Global yearly PM2.5 emission*1/(primary particles share of ambient aerosol) = RF2.5/RFCO2*global yearly CO2 emission, i.e. GWPPM2.5 = RF2.5/RFCO2*global CO2 emission /Global PM2.5 emission*primary particle share.
The simplified model was checked for Black Carbon aerosol, which in AR5 Wgi chapter 8 has a GWP of 658. The model gave a GWP of 687.
It is mainly the PM2.5 part of the aerosol that contributes to scattering and absorption of light. The global emissions of PM2.5 and PM10 are estimated to 4.2E10 and 6.3E10 kg/year. Therfore the GWP is reduced by a factor 4.2/6.3. The GWP for PM2.5 is -153.</t>
        </r>
      </text>
    </comment>
    <comment ref="G24" authorId="0">
      <text>
        <r>
          <rPr>
            <sz val="9"/>
            <color indexed="81"/>
            <rFont val="Tahoma"/>
            <family val="2"/>
          </rPr>
          <t>GWP for PM10 is estimated to -102 by a simplified model based on radiative forcing estimations in AR5 WG1 chapter 8 (Table 8.4) and global emissions.
The simplified model:  GWP</t>
        </r>
        <r>
          <rPr>
            <sz val="8"/>
            <color indexed="81"/>
            <rFont val="Tahoma"/>
            <family val="2"/>
          </rPr>
          <t>PM2.5</t>
        </r>
        <r>
          <rPr>
            <sz val="9"/>
            <color indexed="81"/>
            <rFont val="Tahoma"/>
            <family val="2"/>
          </rPr>
          <t>*Global yearly PM2.5 emission*1/(primary particles share of ambient aerosol) = RF2.5/RFCO2*global yearly CO2 emission, i.e. GWPPM2.5 = RF2.5/RFCO2*global CO2 emission /Global PM2.5 emission*primary particle share.
The simplified model was checked for Black Carbon aerosol, which in AR5 Wgi chapter 8 has a GWP of 658. The model gave a GWP of 687.
It is mainly the PM2.5 part of the aerosol that contributes to scattering and absorption of light. The global emissions of PM2.5 and PM10 are estimated to 4.2E10 and 6.3E10 kg/year. Therfore the GWP is reduced by a factor 4.2/6.3. The GWP for PM2.5 is -153.</t>
        </r>
      </text>
    </comment>
    <comment ref="E28" authorId="0">
      <text>
        <r>
          <rPr>
            <sz val="9"/>
            <color indexed="81"/>
            <rFont val="Tahoma"/>
            <family val="2"/>
          </rPr>
          <t xml:space="preserve">Steen, CPM report 1999:5
</t>
        </r>
      </text>
    </comment>
    <comment ref="G28" authorId="0">
      <text>
        <r>
          <rPr>
            <sz val="9"/>
            <color indexed="81"/>
            <rFont val="Tahoma"/>
            <family val="2"/>
          </rPr>
          <t>Global emission of PM2.5 was 38 Tg 2005 according to http://edgar.jrc.ec.europa.eu/national_reported_data/htap.php. The trend was extrapolated to 40 Tg 2010. Primary emissions of PM2.5 account for about 52% of PM2.5 in ambient air. (Gugamsetty et al, Aerosol and Air Quality Research, 12: 476–491, 2012)</t>
        </r>
      </text>
    </comment>
    <comment ref="E29" authorId="0">
      <text>
        <r>
          <rPr>
            <sz val="9"/>
            <color indexed="81"/>
            <rFont val="Tahoma"/>
            <family val="2"/>
          </rPr>
          <t>Global average PM10 concentration is 61 μg/m3 and for PM2.5 about 40 μg/m3. According to Pope et al 2009, (Fine-Particulate Air Pollution and Life Expectancy in the United States, the New England Journal of Medicine), the marginal reduction of life expectancy is 0.61 year per 10</t>
        </r>
        <r>
          <rPr>
            <sz val="9"/>
            <color indexed="81"/>
            <rFont val="Albertus MT"/>
            <family val="1"/>
          </rPr>
          <t>μ</t>
        </r>
        <r>
          <rPr>
            <sz val="9"/>
            <color indexed="81"/>
            <rFont val="Tahoma"/>
            <family val="2"/>
          </rPr>
          <t>g/m3 PM2.5. With an average life expectancy of 75 years and 
7.2 billion inhabitants globally, we get total YOLL of 40
/10*0,61/75*7200000000</t>
        </r>
      </text>
    </comment>
    <comment ref="F29" authorId="0">
      <text>
        <r>
          <rPr>
            <sz val="9"/>
            <color indexed="81"/>
            <rFont val="Tahoma"/>
            <family val="2"/>
          </rPr>
          <t xml:space="preserve">There is an uncertainty to how representative US values are to the world, partly because of population uncertainty and partly because of aorosol properties.
</t>
        </r>
      </text>
    </comment>
    <comment ref="G29" authorId="0">
      <text>
        <r>
          <rPr>
            <sz val="9"/>
            <color indexed="81"/>
            <rFont val="Tahoma"/>
            <family val="2"/>
          </rPr>
          <t>Global emission of PM2.5 was 38 Tg 2005 according to http://edgar.jrc.ec.europa.eu/national_reported_data/htap.php. The trend was extrapolated to 40 Tg 2010. Primary emissions of PM2.5 account for about 52% of PM2.5 in ambient air. (Gugamsetty et al, Aerosol and Air Quality Research, 12: 476–491, 2012)</t>
        </r>
      </text>
    </comment>
    <comment ref="H29" authorId="0">
      <text>
        <r>
          <rPr>
            <sz val="9"/>
            <color indexed="81"/>
            <rFont val="Tahoma"/>
            <family val="2"/>
          </rPr>
          <t>The population exposure varies sunstatially as the particle residence time is low and different particle compositions contribute differently to the effect.
The fact that the effect is life-long decreases the uncertainty.</t>
        </r>
      </text>
    </comment>
    <comment ref="G30" authorId="0">
      <text>
        <r>
          <rPr>
            <sz val="9"/>
            <color indexed="81"/>
            <rFont val="Tahoma"/>
            <family val="2"/>
          </rPr>
          <t>GWP for PM2.5 is estimated to -153 by a simplified model based on radiative forcing estimations in AR5 WG1 chapter 8 (Table 8.4) and global emissions.
The simplified model:  GWP</t>
        </r>
        <r>
          <rPr>
            <sz val="8"/>
            <color indexed="81"/>
            <rFont val="Tahoma"/>
            <family val="2"/>
          </rPr>
          <t>PM2.5</t>
        </r>
        <r>
          <rPr>
            <sz val="9"/>
            <color indexed="81"/>
            <rFont val="Tahoma"/>
            <family val="2"/>
          </rPr>
          <t xml:space="preserve">*Global yearly PM2.5 emission*1/(primary particles share of ambient aerosol) = RF2.5/RFCO2*global yearly CO2 emission, i.e. GWPPM2.5 = RF2.5/RFCO2*global CO2 emission /Global PM2.5 emission*primary particle share.
The simplified model was checked for Black Carbon aerosol, which in AR5 Wgi chapter 8 has a GWP of 658. The model gave a GWP of 687.
It is mainly the PM2.5 part of the aerosol that contributes to scattering and absorption of light. The global emissions of PM2.5 is estimated to 4.2E10 kg/year. </t>
        </r>
      </text>
    </comment>
    <comment ref="B32" authorId="0">
      <text>
        <r>
          <rPr>
            <sz val="9"/>
            <color indexed="81"/>
            <rFont val="Tahoma"/>
            <family val="2"/>
          </rPr>
          <t>asthma cases are used as a proxy for the acute decreased lung capacity at episodes of exposure to high particle concentration</t>
        </r>
      </text>
    </comment>
    <comment ref="E32" authorId="0">
      <text>
        <r>
          <rPr>
            <sz val="9"/>
            <color indexed="81"/>
            <rFont val="Tahoma"/>
            <family val="2"/>
          </rPr>
          <t xml:space="preserve">Most of the studies on this issue were made in the 1990ies and before. Therfore the data from Steen, CPM report 1999:5 are used. (Available at lifecyclecenter.se) There, the elasticity used for increased emergency room visits for asthma was 1.29E-5 per person per </t>
        </r>
        <r>
          <rPr>
            <sz val="9"/>
            <color indexed="81"/>
            <rFont val="Albertus MT"/>
            <family val="1"/>
          </rPr>
          <t>μ</t>
        </r>
        <r>
          <rPr>
            <sz val="9"/>
            <color indexed="81"/>
            <rFont val="Tahoma"/>
            <family val="2"/>
          </rPr>
          <t xml:space="preserve">g/m3 and year for PM10. At a global average PM10 concentration of 60 μg/m3 and PM2.5 concentration  of 40 μg/m3, and an assumption of 1 days duration of the visit, we obtain a value of 1.29E-5*40*7.2E9
</t>
        </r>
      </text>
    </comment>
    <comment ref="F32" authorId="0">
      <text>
        <r>
          <rPr>
            <sz val="9"/>
            <color indexed="81"/>
            <rFont val="Tahoma"/>
            <family val="2"/>
          </rPr>
          <t xml:space="preserve">There is an uncertainty in to what extent a hospital visit measures the extent of the effect, and an uncertainty about the global representativeness of the sensitivity data.
</t>
        </r>
      </text>
    </comment>
    <comment ref="G32" authorId="0">
      <text>
        <r>
          <rPr>
            <sz val="9"/>
            <color indexed="81"/>
            <rFont val="Tahoma"/>
            <family val="2"/>
          </rPr>
          <t>Global emission of PM10 was 38 Tg 2005 according to http://edgar.jrc.ec.europa.eu/national_reported_data/htap.php. The trend was extrapolated to 40 Tg 2010. Primary emissions account for about 52% of PM2.5 in ambient air. (Gugamsetty et al, Aerosol and Air Quality Research, 12: 476–491, 2012)</t>
        </r>
      </text>
    </comment>
    <comment ref="E33" authorId="0">
      <text>
        <r>
          <rPr>
            <sz val="9"/>
            <color indexed="81"/>
            <rFont val="Tahoma"/>
            <family val="2"/>
          </rPr>
          <t>"In 2008, there were about 822,500 hospital stays for chronic obstructive pulmonary disease (COPD) among adults age 40 years and older. In addition, another 3.8 million hospital stays included COPD as a secondary, or complicating, condition during an admission for some other problem.---with a 4.8 day mean length of hospitalization " from Overview of Hospitalizations among Patients with COPD, 2008
Statistical Brief #106 Lauren M Wier, MPH, Anne Elixhauser, PhD, Anne Pfuntner, BUEP, and David H Au, MD, MS. Published: February 2011. U.S. Department of Health &amp; Human Services, Agency for health care and quality research.
Accessed at http://www.ncbi.nlm.nih.gov/books/NBK53969/
To get a global estimate, the figure is scaled up to the global poulation.</t>
        </r>
      </text>
    </comment>
    <comment ref="G33" authorId="0">
      <text>
        <r>
          <rPr>
            <sz val="9"/>
            <color indexed="81"/>
            <rFont val="Tahoma"/>
            <family val="2"/>
          </rPr>
          <t>Global emission of PM10 was 38 Tg 2005 according to http://edgar.jrc.ec.europa.eu/national_reported_data/htap.php. The trend was extrapolated to 40 Tg 2010. Primary emissions account for about 52% of PM2.5 in ambient air. (Gugamsetty et al, Aerosol and Air Quality Research, 12: 476–491, 2012)</t>
        </r>
      </text>
    </comment>
    <comment ref="G34" authorId="0">
      <text>
        <r>
          <rPr>
            <sz val="9"/>
            <color indexed="81"/>
            <rFont val="Tahoma"/>
            <family val="2"/>
          </rPr>
          <t>GWP for PM2.5 is estimated to -153 by a simplified model based on radiative forcing estimations in AR5 WG1 chapter 8 (Table 8.4) and global emissions.
The simplified model:  GWP</t>
        </r>
        <r>
          <rPr>
            <sz val="8"/>
            <color indexed="81"/>
            <rFont val="Tahoma"/>
            <family val="2"/>
          </rPr>
          <t>PM2.5</t>
        </r>
        <r>
          <rPr>
            <sz val="9"/>
            <color indexed="81"/>
            <rFont val="Tahoma"/>
            <family val="2"/>
          </rPr>
          <t xml:space="preserve">*Global yearly PM2.5 emission*1/(primary particles share of ambient aerosol) = RF2.5/RFCO2*global yearly CO2 emission, i.e. GWPPM2.5 = RF2.5/RFCO2*global CO2 emission /Global PM2.5 emission*primary particle share.
The simplified model was checked for Black Carbon aerosol, which in AR5 Wgi chapter 8 has a GWP of 658. The model gave a GWP of 687.
It is mainly the PM2.5 part of the aerosol that contributes to scattering and absorption of light. The global emissions of PM2.5 is estimated to 4.2E10 kg/year. </t>
        </r>
      </text>
    </comment>
    <comment ref="G35" authorId="0">
      <text>
        <r>
          <rPr>
            <sz val="9"/>
            <color indexed="81"/>
            <rFont val="Tahoma"/>
            <family val="2"/>
          </rPr>
          <t>GWP for PM2.5 is estimated to -153 by a simplified model based on radiative forcing estimations in AR5 WG1 chapter 8 (Table 8.4) and global emissions.
The simplified model:  GWP</t>
        </r>
        <r>
          <rPr>
            <sz val="8"/>
            <color indexed="81"/>
            <rFont val="Tahoma"/>
            <family val="2"/>
          </rPr>
          <t>PM2.5</t>
        </r>
        <r>
          <rPr>
            <sz val="9"/>
            <color indexed="81"/>
            <rFont val="Tahoma"/>
            <family val="2"/>
          </rPr>
          <t xml:space="preserve">*Global yearly PM2.5 emission*1/(primary particles share of ambient aerosol) = RF2.5/RFCO2*global yearly CO2 emission, i.e. GWPPM2.5 = RF2.5/RFCO2*global CO2 emission /Global PM2.5 emission*primary particle share.
The simplified model was checked for Black Carbon aerosol, which in AR5 Wgi chapter 8 has a GWP of 658. The model gave a GWP of 687.
It is mainly the PM2.5 part of the aerosol that contributes to scattering and absorption of light. The global emissions of PM2.5 is estimated to 4.2E10 kg/year. </t>
        </r>
      </text>
    </comment>
    <comment ref="G36" authorId="0">
      <text>
        <r>
          <rPr>
            <sz val="9"/>
            <color indexed="81"/>
            <rFont val="Tahoma"/>
            <family val="2"/>
          </rPr>
          <t>GWP for PM2.5 is estimated to -153 by a simplified model based on radiative forcing estimations in AR5 WG1 chapter 8 (Table 8.4) and global emissions.
The simplified model:  GWP</t>
        </r>
        <r>
          <rPr>
            <sz val="8"/>
            <color indexed="81"/>
            <rFont val="Tahoma"/>
            <family val="2"/>
          </rPr>
          <t>PM2.5</t>
        </r>
        <r>
          <rPr>
            <sz val="9"/>
            <color indexed="81"/>
            <rFont val="Tahoma"/>
            <family val="2"/>
          </rPr>
          <t xml:space="preserve">*Global yearly PM2.5 emission*1/(primary particles share of ambient aerosol) = RF2.5/RFCO2*global yearly CO2 emission, i.e. GWPPM2.5 = RF2.5/RFCO2*global CO2 emission /Global PM2.5 emission*primary particle share.
The simplified model was checked for Black Carbon aerosol, which in AR5 Wgi chapter 8 has a GWP of 658. The model gave a GWP of 687.
It is mainly the PM2.5 part of the aerosol that contributes to scattering and absorption of light. The global emissions of PM2.5 is estimated to 4.2E10 kg/year. </t>
        </r>
      </text>
    </comment>
    <comment ref="G37" authorId="0">
      <text>
        <r>
          <rPr>
            <sz val="9"/>
            <color indexed="81"/>
            <rFont val="Tahoma"/>
            <family val="2"/>
          </rPr>
          <t>GWP for PM2.5 is estimated to -153 by a simplified model based on radiative forcing estimations in AR5 WG1 chapter 8 (Table 8.4) and global emissions.
The simplified model:  GWP</t>
        </r>
        <r>
          <rPr>
            <sz val="8"/>
            <color indexed="81"/>
            <rFont val="Tahoma"/>
            <family val="2"/>
          </rPr>
          <t>PM2.5</t>
        </r>
        <r>
          <rPr>
            <sz val="9"/>
            <color indexed="81"/>
            <rFont val="Tahoma"/>
            <family val="2"/>
          </rPr>
          <t xml:space="preserve">*Global yearly PM2.5 emission*1/(primary particles share of ambient aerosol) = RF2.5/RFCO2*global yearly CO2 emission, i.e. GWPPM2.5 = RF2.5/RFCO2*global CO2 emission /Global PM2.5 emission*primary particle share.
The simplified model was checked for Black Carbon aerosol, which in AR5 Wgi chapter 8 has a GWP of 658. The model gave a GWP of 687.
It is mainly the PM2.5 part of the aerosol that contributes to scattering and absorption of light. The global emissions of PM2.5 is estimated to 4.2E10 kg/year. </t>
        </r>
      </text>
    </comment>
    <comment ref="G38" authorId="0">
      <text>
        <r>
          <rPr>
            <sz val="9"/>
            <color indexed="81"/>
            <rFont val="Tahoma"/>
            <family val="2"/>
          </rPr>
          <t>GWP for PM2.5 is estimated to -153 by a simplified model based on radiative forcing estimations in AR5 WG1 chapter 8 (Table 8.4) and global emissions.
The simplified model:  GWP</t>
        </r>
        <r>
          <rPr>
            <sz val="8"/>
            <color indexed="81"/>
            <rFont val="Tahoma"/>
            <family val="2"/>
          </rPr>
          <t>PM2.5</t>
        </r>
        <r>
          <rPr>
            <sz val="9"/>
            <color indexed="81"/>
            <rFont val="Tahoma"/>
            <family val="2"/>
          </rPr>
          <t xml:space="preserve">*Global yearly PM2.5 emission*1/(primary particles share of ambient aerosol) = RF2.5/RFCO2*global yearly CO2 emission, i.e. GWPPM2.5 = RF2.5/RFCO2*global CO2 emission /Global PM2.5 emission*primary particle share.
The simplified model was checked for Black Carbon aerosol, which in AR5 Wgi chapter 8 has a GWP of 658. The model gave a GWP of 687.
It is mainly the PM2.5 part of the aerosol that contributes to scattering and absorption of light. The global emissions of PM2.5 is estimated to 4.2E10 kg/year. </t>
        </r>
      </text>
    </comment>
    <comment ref="G39" authorId="0">
      <text>
        <r>
          <rPr>
            <sz val="9"/>
            <color indexed="81"/>
            <rFont val="Tahoma"/>
            <family val="2"/>
          </rPr>
          <t>GWP for PM2.5 is estimated to -153 by a simplified model based on radiative forcing estimations in AR5 WG1 chapter 8 (Table 8.4) and global emissions.
The simplified model:  GWP</t>
        </r>
        <r>
          <rPr>
            <sz val="8"/>
            <color indexed="81"/>
            <rFont val="Tahoma"/>
            <family val="2"/>
          </rPr>
          <t>PM2.5</t>
        </r>
        <r>
          <rPr>
            <sz val="9"/>
            <color indexed="81"/>
            <rFont val="Tahoma"/>
            <family val="2"/>
          </rPr>
          <t xml:space="preserve">*Global yearly PM2.5 emission*1/(primary particles share of ambient aerosol) = RF2.5/RFCO2*global yearly CO2 emission, i.e. GWPPM2.5 = RF2.5/RFCO2*global CO2 emission /Global PM2.5 emission*primary particle share.
The simplified model was checked for Black Carbon aerosol, which in AR5 Wgi chapter 8 has a GWP of 658. The model gave a GWP of 687.
It is mainly the PM2.5 part of the aerosol that contributes to scattering and absorption of light. The global emissions of PM2.5 is estimated to 4.2E10 kg/year. </t>
        </r>
      </text>
    </comment>
    <comment ref="G40" authorId="0">
      <text>
        <r>
          <rPr>
            <sz val="9"/>
            <color indexed="81"/>
            <rFont val="Tahoma"/>
            <family val="2"/>
          </rPr>
          <t>GWP for PM2.5 is estimated to -153 by a simplified model based on radiative forcing estimations in AR5 WG1 chapter 8 (Table 8.4) and global emissions.
The simplified model:  GWP</t>
        </r>
        <r>
          <rPr>
            <sz val="8"/>
            <color indexed="81"/>
            <rFont val="Tahoma"/>
            <family val="2"/>
          </rPr>
          <t>PM2.5</t>
        </r>
        <r>
          <rPr>
            <sz val="9"/>
            <color indexed="81"/>
            <rFont val="Tahoma"/>
            <family val="2"/>
          </rPr>
          <t xml:space="preserve">*Global yearly PM2.5 emission*1/(primary particles share of ambient aerosol) = RF2.5/RFCO2*global yearly CO2 emission, i.e. GWPPM2.5 = RF2.5/RFCO2*global CO2 emission /Global PM2.5 emission*primary particle share.
The simplified model was checked for Black Carbon aerosol, which in AR5 Wgi chapter 8 has a GWP of 658. The model gave a GWP of 687.
It is mainly the PM2.5 part of the aerosol that contributes to scattering and absorption of light. The global emissions of PM2.5 is estimated to 4.2E10 kg/year. </t>
        </r>
      </text>
    </comment>
    <comment ref="G41" authorId="0">
      <text>
        <r>
          <rPr>
            <sz val="9"/>
            <color indexed="81"/>
            <rFont val="Tahoma"/>
            <family val="2"/>
          </rPr>
          <t>GWP for PM2.5 is estimated to -153 by a simplified model based on radiative forcing estimations in AR5 WG1 chapter 8 (Table 8.4) and global emissions.
The simplified model:  GWP</t>
        </r>
        <r>
          <rPr>
            <sz val="8"/>
            <color indexed="81"/>
            <rFont val="Tahoma"/>
            <family val="2"/>
          </rPr>
          <t>PM2.5</t>
        </r>
        <r>
          <rPr>
            <sz val="9"/>
            <color indexed="81"/>
            <rFont val="Tahoma"/>
            <family val="2"/>
          </rPr>
          <t xml:space="preserve">*Global yearly PM2.5 emission*1/(primary particles share of ambient aerosol) = RF2.5/RFCO2*global yearly CO2 emission, i.e. GWPPM2.5 = RF2.5/RFCO2*global CO2 emission /Global PM2.5 emission*primary particle share.
The simplified model was checked for Black Carbon aerosol, which in AR5 Wgi chapter 8 has a GWP of 658. The model gave a GWP of 687.
It is mainly the PM2.5 part of the aerosol that contributes to scattering and absorption of light. The global emissions of PM2.5 is estimated to 4.2E10 kg/year. </t>
        </r>
      </text>
    </comment>
    <comment ref="G42" authorId="0">
      <text>
        <r>
          <rPr>
            <sz val="9"/>
            <color indexed="81"/>
            <rFont val="Tahoma"/>
            <family val="2"/>
          </rPr>
          <t>GWP for PM2.5 is estimated to -153 by a simplified model based on radiative forcing estimations in AR5 WG1 chapter 8 (Table 8.4) and global emissions.
The simplified model:  GWP</t>
        </r>
        <r>
          <rPr>
            <sz val="8"/>
            <color indexed="81"/>
            <rFont val="Tahoma"/>
            <family val="2"/>
          </rPr>
          <t>PM2.5</t>
        </r>
        <r>
          <rPr>
            <sz val="9"/>
            <color indexed="81"/>
            <rFont val="Tahoma"/>
            <family val="2"/>
          </rPr>
          <t xml:space="preserve">*Global yearly PM2.5 emission*1/(primary particles share of ambient aerosol) = RF2.5/RFCO2*global yearly CO2 emission, i.e. GWPPM2.5 = RF2.5/RFCO2*global CO2 emission /Global PM2.5 emission*primary particle share.
The simplified model was checked for Black Carbon aerosol, which in AR5 Wgi chapter 8 has a GWP of 658. The model gave a GWP of 687.
It is mainly the PM2.5 part of the aerosol that contributes to scattering and absorption of light. The global emissions of PM2.5 is estimated to 4.2E10 kg/year. </t>
        </r>
      </text>
    </comment>
    <comment ref="G43" authorId="0">
      <text>
        <r>
          <rPr>
            <sz val="9"/>
            <color indexed="81"/>
            <rFont val="Tahoma"/>
            <family val="2"/>
          </rPr>
          <t>GWP for PM2.5 is estimated to -153 by a simplified model based on radiative forcing estimations in AR5 WG1 chapter 8 (Table 8.4) and global emissions.
The simplified model:  GWP</t>
        </r>
        <r>
          <rPr>
            <sz val="8"/>
            <color indexed="81"/>
            <rFont val="Tahoma"/>
            <family val="2"/>
          </rPr>
          <t>PM2.5</t>
        </r>
        <r>
          <rPr>
            <sz val="9"/>
            <color indexed="81"/>
            <rFont val="Tahoma"/>
            <family val="2"/>
          </rPr>
          <t xml:space="preserve">*Global yearly PM2.5 emission*1/(primary particles share of ambient aerosol) = RF2.5/RFCO2*global yearly CO2 emission, i.e. GWPPM2.5 = RF2.5/RFCO2*global CO2 emission /Global PM2.5 emission*primary particle share.
The simplified model was checked for Black Carbon aerosol, which in AR5 Wgi chapter 8 has a GWP of 658. The model gave a GWP of 687.
It is mainly the PM2.5 part of the aerosol that contributes to scattering and absorption of light. The global emissions of PM2.5 is estimated to 4.2E10 kg/year. </t>
        </r>
      </text>
    </comment>
    <comment ref="G44" authorId="0">
      <text>
        <r>
          <rPr>
            <sz val="9"/>
            <color indexed="81"/>
            <rFont val="Tahoma"/>
            <family val="2"/>
          </rPr>
          <t>GWP for PM2.5 is estimated to -153 by a simplified model based on radiative forcing estimations in AR5 WG1 chapter 8 (Table 8.4) and global emissions.
The simplified model:  GWP</t>
        </r>
        <r>
          <rPr>
            <sz val="8"/>
            <color indexed="81"/>
            <rFont val="Tahoma"/>
            <family val="2"/>
          </rPr>
          <t>PM2.5</t>
        </r>
        <r>
          <rPr>
            <sz val="9"/>
            <color indexed="81"/>
            <rFont val="Tahoma"/>
            <family val="2"/>
          </rPr>
          <t xml:space="preserve">*Global yearly PM2.5 emission*1/(primary particles share of ambient aerosol) = RF2.5/RFCO2*global yearly CO2 emission, i.e. GWPPM2.5 = RF2.5/RFCO2*global CO2 emission /Global PM2.5 emission*primary particle share.
The simplified model was checked for Black Carbon aerosol, which in AR5 Wgi chapter 8 has a GWP of 658. The model gave a GWP of 687.
It is mainly the PM2.5 part of the aerosol that contributes to scattering and absorption of light. The global emissions of PM2.5 is estimated to 4.2E10 kg/year. </t>
        </r>
      </text>
    </comment>
    <comment ref="G45" authorId="0">
      <text>
        <r>
          <rPr>
            <sz val="9"/>
            <color indexed="81"/>
            <rFont val="Tahoma"/>
            <family val="2"/>
          </rPr>
          <t>GWP for PM2.5 is estimated to -153 by a simplified model based on radiative forcing estimations in AR5 WG1 chapter 8 (Table 8.4) and global emissions.
The simplified model:  GWP</t>
        </r>
        <r>
          <rPr>
            <sz val="8"/>
            <color indexed="81"/>
            <rFont val="Tahoma"/>
            <family val="2"/>
          </rPr>
          <t>PM2.5</t>
        </r>
        <r>
          <rPr>
            <sz val="9"/>
            <color indexed="81"/>
            <rFont val="Tahoma"/>
            <family val="2"/>
          </rPr>
          <t xml:space="preserve">*Global yearly PM2.5 emission*1/(primary particles share of ambient aerosol) = RF2.5/RFCO2*global yearly CO2 emission, i.e. GWPPM2.5 = RF2.5/RFCO2*global CO2 emission /Global PM2.5 emission*primary particle share.
The simplified model was checked for Black Carbon aerosol, which in AR5 Wgi chapter 8 has a GWP of 658. The model gave a GWP of 687.
It is mainly the PM2.5 part of the aerosol that contributes to scattering and absorption of light. The global emissions of PM2.5 is estimated to 4.2E10 kg/year. </t>
        </r>
      </text>
    </comment>
    <comment ref="G46" authorId="0">
      <text>
        <r>
          <rPr>
            <sz val="9"/>
            <color indexed="81"/>
            <rFont val="Tahoma"/>
            <family val="2"/>
          </rPr>
          <t>GWP for PM2.5 is estimated to -153 by a simplified model based on radiative forcing estimations in AR5 WG1 chapter 8 (Table 8.4) and global emissions.
The simplified model:  GWP</t>
        </r>
        <r>
          <rPr>
            <sz val="8"/>
            <color indexed="81"/>
            <rFont val="Tahoma"/>
            <family val="2"/>
          </rPr>
          <t>PM2.5</t>
        </r>
        <r>
          <rPr>
            <sz val="9"/>
            <color indexed="81"/>
            <rFont val="Tahoma"/>
            <family val="2"/>
          </rPr>
          <t xml:space="preserve">*Global yearly PM2.5 emission*1/(primary particles share of ambient aerosol) = RF2.5/RFCO2*global yearly CO2 emission, i.e. GWPPM2.5 = RF2.5/RFCO2*global CO2 emission /Global PM2.5 emission*primary particle share.
The simplified model was checked for Black Carbon aerosol, which in AR5 Wgi chapter 8 has a GWP of 658. The model gave a GWP of 687.
It is mainly the PM2.5 part of the aerosol that contributes to scattering and absorption of light. The global emissions of PM2.5 is estimated to 4.2E10 kg/year. </t>
        </r>
      </text>
    </comment>
    <comment ref="E51" authorId="0">
      <text>
        <r>
          <rPr>
            <sz val="9"/>
            <color indexed="81"/>
            <rFont val="Tahoma"/>
            <family val="2"/>
          </rPr>
          <t>Steen, CPM report 1999:5, page 223</t>
        </r>
      </text>
    </comment>
    <comment ref="G51" authorId="0">
      <text>
        <r>
          <rPr>
            <sz val="9"/>
            <color indexed="81"/>
            <rFont val="Tahoma"/>
            <family val="2"/>
          </rPr>
          <t xml:space="preserve"> Several sources mention that BC could be a more potent toxic than average PM2.5, but no quanititative estimates have been found. In a report from the World Bank (nr 86485, Reducing Black Carbon Emissions from Diesel Vehicles: Impacts, Control Strategies, and Cost-Benefit Analysis) they write "Recent reports by the EPA and the WHO recognize associations between BC and a continuum of cardiovascular and respiratory effects but conclude that it is not currently possible to distinguish the health impacts of BC from PM (U.S. EPA. (2012) Report to Congress on Black Carbon. United States Environmental Protection Agency. EPA-450/R-12-001. March, 2012. http://www.epa.gov/blackcarbon)." Therfore, BC is given the same contribution per kg as PM2.5.</t>
        </r>
      </text>
    </comment>
    <comment ref="E52" authorId="0">
      <text>
        <r>
          <rPr>
            <sz val="9"/>
            <color indexed="81"/>
            <rFont val="Tahoma"/>
            <family val="2"/>
          </rPr>
          <t>Global average PM10 concentration is 61 μg/m3 and for PM2.5 about 40 μg/m3. According to Pope et al 2009, Fine-Particulate Air Pollution and Life Expectancy in the United States, the New England Journal of Medicine, the marginal reduction of life expectancy is 0.61 year per 10</t>
        </r>
        <r>
          <rPr>
            <sz val="9"/>
            <color indexed="81"/>
            <rFont val="Albertus MT"/>
            <family val="1"/>
          </rPr>
          <t>μ</t>
        </r>
        <r>
          <rPr>
            <sz val="9"/>
            <color indexed="81"/>
            <rFont val="Tahoma"/>
            <family val="2"/>
          </rPr>
          <t>g/m3 PM2.5. With an average life expectancy of 75 years and 
7.2 billion inhabitants globally, we get total YOLL of 40
/10*0,61/75*7200000000</t>
        </r>
      </text>
    </comment>
    <comment ref="F52" authorId="0">
      <text>
        <r>
          <rPr>
            <sz val="9"/>
            <color indexed="81"/>
            <rFont val="Tahoma"/>
            <family val="2"/>
          </rPr>
          <t xml:space="preserve">There is an uncertainty to how representative US values are to the world, partly because of population uncertainty and partly because of aorosol properties.
</t>
        </r>
      </text>
    </comment>
    <comment ref="G52" authorId="0">
      <text>
        <r>
          <rPr>
            <sz val="9"/>
            <color indexed="81"/>
            <rFont val="Tahoma"/>
            <family val="2"/>
          </rPr>
          <t xml:space="preserve">Global emission of BC was 5 Tg 2005 according to http://edgar.jrc.ec.europa.eu/national_reported_data/htap.php. The trend was extrapolated to 5 Tg 2010. Primary emissions seem to account for about 100% of BC in ambient air. (H. Herich, C. Hueglin, and B. Buchmann, A 2.5 year’s source apportionment study of black carbon from wood burning and fossil fuel combustion at urban and rural sites in Switzerland, Atmos. Meas. Tech., 4, 1409-1420, 2011
www.atmos-meas-tech.net/4/1409/2011/)  If BC is assumed to be as damaging as average PM 2.5, the contribution will be 2e-10 per kg. Several sources mention that BC could be a more potent toxic than average PM2.5, but no quanititative estimates have been found. In a report from the World Bank (nr 86485, Reducing Black Carbon Emissions from Diesel Vehicles: Impacts, Control Strategies, and Cost-Benefit Analysis) they write "Recent reports by the EPA and the WHO recognize associations between BC and a continuum of cardiovascular and respiratory effects but conclude that it is not currently possible to distinguish the health impacts of BC from PM2.5 (U.S. EPA. (2012) Report to Congress on Black Carbon. United States Environmental Protection Agency. EPA-450/R-12-001. March, 2012. http://www.epa.gov/blackcarbon)." </t>
        </r>
      </text>
    </comment>
    <comment ref="H52" authorId="0">
      <text>
        <r>
          <rPr>
            <sz val="9"/>
            <color indexed="81"/>
            <rFont val="Tahoma"/>
            <family val="2"/>
          </rPr>
          <t>The population exposure varies sunstatially as the particle residence time is low and different particle compositions contribute differently to the effect.
The fact that the effect is life-long decreases the uncertainty.</t>
        </r>
      </text>
    </comment>
    <comment ref="G53" authorId="0">
      <text>
        <r>
          <rPr>
            <sz val="9"/>
            <color indexed="81"/>
            <rFont val="Tahoma"/>
            <family val="2"/>
          </rPr>
          <t xml:space="preserve">GWP for BC is 658 according to AR5 WG1 chapter 8 (Table 8.4) and global emissions.
The global emissions of BC is estimated to 5 Tg/year. </t>
        </r>
      </text>
    </comment>
    <comment ref="B55" authorId="0">
      <text>
        <r>
          <rPr>
            <sz val="9"/>
            <color indexed="81"/>
            <rFont val="Tahoma"/>
            <family val="2"/>
          </rPr>
          <t>asthma cases are used as a proxy for the acute decreased lung capacity at episodes of exposure to higgh particle concentration</t>
        </r>
      </text>
    </comment>
    <comment ref="E55" authorId="0">
      <text>
        <r>
          <rPr>
            <sz val="9"/>
            <color indexed="81"/>
            <rFont val="Tahoma"/>
            <family val="2"/>
          </rPr>
          <t xml:space="preserve">Most of the studies on this issue were made in the 1990ies and before. Therfore the data from Steen, CPM report 1999:5 are used. (Available at lifecyclecenter.se)
</t>
        </r>
      </text>
    </comment>
    <comment ref="F55" authorId="0">
      <text>
        <r>
          <rPr>
            <sz val="9"/>
            <color indexed="81"/>
            <rFont val="Tahoma"/>
            <family val="2"/>
          </rPr>
          <t xml:space="preserve">There is an uncertainty in to what extent a hospital visit measures the extent of the effect, and an uncertainty about the global representativeness of the sensitivity data.
</t>
        </r>
      </text>
    </comment>
    <comment ref="G55" authorId="0">
      <text>
        <r>
          <rPr>
            <sz val="9"/>
            <color indexed="81"/>
            <rFont val="Tahoma"/>
            <family val="2"/>
          </rPr>
          <t xml:space="preserve">GWP for BC is 658 according to AR5 WG1 chapter 8 (Table 8.4) and global emissions.
The global emissions of BC is estimated to 5 Tg/year. </t>
        </r>
      </text>
    </comment>
    <comment ref="E56" authorId="0">
      <text>
        <r>
          <rPr>
            <sz val="9"/>
            <color indexed="81"/>
            <rFont val="Tahoma"/>
            <family val="2"/>
          </rPr>
          <t>"In 2008, there were about 822,500 hospital stays for chronic obstructive pulmonary disease (COPD) among adults age 40 years and older. In addition, another 3.8 million hospital stays included COPD as a secondary, or complicating, condition during an admission for some other problem.---with a 4.8 day mean length of hospitalization " from Overview of Hospitalizations among Patients with COPD, 2008
Statistical Brief #106 Lauren M Wier, MPH, Anne Elixhauser, PhD, Anne Pfuntner, BUEP, and David H Au, MD, MS. Published: February 2011. U.S. Department of Health &amp; Human Services, Agency for health care and quality research.
Accessed at http://www.ncbi.nlm.nih.gov/books/NBK53969/
To get a global estimate, the figure is scaled up to the global poulation.</t>
        </r>
      </text>
    </comment>
    <comment ref="G56" authorId="0">
      <text>
        <r>
          <rPr>
            <sz val="9"/>
            <color indexed="81"/>
            <rFont val="Tahoma"/>
            <family val="2"/>
          </rPr>
          <t xml:space="preserve">GWP for BC is 658 according to AR5 WG1 chapter 8 (Table 8.4) and global emissions.
The global emissions of BC is estimated to 5 Tg/year. </t>
        </r>
      </text>
    </comment>
    <comment ref="G57" authorId="0">
      <text>
        <r>
          <rPr>
            <sz val="9"/>
            <color indexed="81"/>
            <rFont val="Tahoma"/>
            <family val="2"/>
          </rPr>
          <t xml:space="preserve">GWP for BC is 658 according to AR5 WG1 chapter 8 (Table 8.4) and global emissions.
The global emissions of BC is estimated to 5 Tg/year. </t>
        </r>
      </text>
    </comment>
    <comment ref="G58" authorId="0">
      <text>
        <r>
          <rPr>
            <sz val="9"/>
            <color indexed="81"/>
            <rFont val="Tahoma"/>
            <family val="2"/>
          </rPr>
          <t xml:space="preserve">GWP for BC is 658 according to AR5 WG1 chapter 8 (Table 8.4) and global emissions.
The global emissions of BC is estimated to 5 Tg/year. </t>
        </r>
      </text>
    </comment>
    <comment ref="G59" authorId="0">
      <text>
        <r>
          <rPr>
            <sz val="9"/>
            <color indexed="81"/>
            <rFont val="Tahoma"/>
            <family val="2"/>
          </rPr>
          <t xml:space="preserve">GWP for BC is 658 according to AR5 WG1 chapter 8 (Table 8.4) and global emissions.
The global emissions of BC is estimated to 5 Tg/year. </t>
        </r>
      </text>
    </comment>
    <comment ref="G60" authorId="0">
      <text>
        <r>
          <rPr>
            <sz val="9"/>
            <color indexed="81"/>
            <rFont val="Tahoma"/>
            <family val="2"/>
          </rPr>
          <t xml:space="preserve">GWP for BC is 658 according to AR5 WG1 chapter 8 (Table 8.4) and global emissions.
The global emissions of BC is estimated to 5 Tg/year. </t>
        </r>
      </text>
    </comment>
    <comment ref="G61" authorId="0">
      <text>
        <r>
          <rPr>
            <sz val="9"/>
            <color indexed="81"/>
            <rFont val="Tahoma"/>
            <family val="2"/>
          </rPr>
          <t xml:space="preserve">GWP for BC is 658 according to AR5 WG1 chapter 8 (Table 8.4) and global emissions.
The global emissions of BC is estimated to 5 Tg/year. </t>
        </r>
      </text>
    </comment>
    <comment ref="G62" authorId="0">
      <text>
        <r>
          <rPr>
            <sz val="9"/>
            <color indexed="81"/>
            <rFont val="Tahoma"/>
            <family val="2"/>
          </rPr>
          <t xml:space="preserve">GWP for BC is 658 according to AR5 WG1 chapter 8 (Table 8.4) and global emissions.
The global emissions of BC is estimated to 5 Tg/year. </t>
        </r>
      </text>
    </comment>
    <comment ref="G63" authorId="0">
      <text>
        <r>
          <rPr>
            <sz val="9"/>
            <color indexed="81"/>
            <rFont val="Tahoma"/>
            <family val="2"/>
          </rPr>
          <t xml:space="preserve">GWP for BC is 658 according to AR5 WG1 chapter 8 (Table 8.4) and global emissions.
The global emissions of BC is estimated to 5 Tg/year. </t>
        </r>
      </text>
    </comment>
    <comment ref="G64" authorId="0">
      <text>
        <r>
          <rPr>
            <sz val="9"/>
            <color indexed="81"/>
            <rFont val="Tahoma"/>
            <family val="2"/>
          </rPr>
          <t xml:space="preserve">GWP for BC is 658 according to AR5 WG1 chapter 8 (Table 8.4) and global emissions.
The global emissions of BC is estimated to 5 Tg/year. </t>
        </r>
      </text>
    </comment>
    <comment ref="G65" authorId="0">
      <text>
        <r>
          <rPr>
            <sz val="9"/>
            <color indexed="81"/>
            <rFont val="Tahoma"/>
            <family val="2"/>
          </rPr>
          <t xml:space="preserve">GWP for BC is 658 according to AR5 WG1 chapter 8 (Table 8.4) and global emissions.
The global emissions of BC is estimated to 5 Tg/year. </t>
        </r>
      </text>
    </comment>
    <comment ref="G66" authorId="0">
      <text>
        <r>
          <rPr>
            <sz val="9"/>
            <color indexed="81"/>
            <rFont val="Tahoma"/>
            <family val="2"/>
          </rPr>
          <t xml:space="preserve">GWP for BC is 658 according to AR5 WG1 chapter 8 (Table 8.4) and global emissions.
The global emissions of BC is estimated to 5 Tg/year. </t>
        </r>
      </text>
    </comment>
    <comment ref="G67" authorId="0">
      <text>
        <r>
          <rPr>
            <sz val="9"/>
            <color indexed="81"/>
            <rFont val="Tahoma"/>
            <family val="2"/>
          </rPr>
          <t xml:space="preserve">GWP for BC is 658 according to AR5 WG1 chapter 8 (Table 8.4) and global emissions.
The global emissions of BC is estimated to 5 Tg/year. </t>
        </r>
      </text>
    </comment>
    <comment ref="G68" authorId="0">
      <text>
        <r>
          <rPr>
            <sz val="9"/>
            <color indexed="81"/>
            <rFont val="Tahoma"/>
            <family val="2"/>
          </rPr>
          <t xml:space="preserve">GWP for BC is 658 according to AR5 WG1 chapter 8 (Table 8.4) and global emissions.
The global emissions of BC is estimated to 5 Tg/year. </t>
        </r>
      </text>
    </comment>
    <comment ref="G69" authorId="0">
      <text>
        <r>
          <rPr>
            <sz val="9"/>
            <color indexed="81"/>
            <rFont val="Tahoma"/>
            <family val="2"/>
          </rPr>
          <t xml:space="preserve">GWP for BC is 658 according to AR5 WG1 chapter 8 (Table 8.4) and global emissions.
The global emissions of BC is estimated to 5 Tg/year. </t>
        </r>
      </text>
    </comment>
    <comment ref="E73" authorId="0">
      <text>
        <r>
          <rPr>
            <sz val="9"/>
            <color indexed="81"/>
            <rFont val="Tahoma"/>
            <family val="2"/>
          </rPr>
          <t>Steen, CPM report 1999:5, page 223</t>
        </r>
      </text>
    </comment>
    <comment ref="G73" authorId="0">
      <text>
        <r>
          <rPr>
            <sz val="9"/>
            <color indexed="81"/>
            <rFont val="Tahoma"/>
            <family val="2"/>
          </rPr>
          <t>Global emission of OC was 16.1 Tg 2005 according to http://edgar.jrc.ec.europa.eu/national_reported_data/htap.php. The trend was extrapolated to 17 Tg 2010. Primary emissions account for about 52% of BC in ambient air. (Gugamsetty et al, Aerosol and Air Quality Research, 12: 476–491, 2012)</t>
        </r>
      </text>
    </comment>
    <comment ref="E74" authorId="0">
      <text>
        <r>
          <rPr>
            <sz val="9"/>
            <color indexed="81"/>
            <rFont val="Tahoma"/>
            <family val="2"/>
          </rPr>
          <t>Global average PM10 concentration is 61 μg/m3 and for PM2.5 about 40 μg/m3. According to Pope et al 2009, Fine-Particulate Air Pollution and Life Expectancy in the United States, the New England Journal of Medicine, the marginal reduction of life expectancy is 0.61 year per 10</t>
        </r>
        <r>
          <rPr>
            <sz val="9"/>
            <color indexed="81"/>
            <rFont val="Albertus MT"/>
            <family val="1"/>
          </rPr>
          <t>μ</t>
        </r>
        <r>
          <rPr>
            <sz val="9"/>
            <color indexed="81"/>
            <rFont val="Tahoma"/>
            <family val="2"/>
          </rPr>
          <t>g/m3 PM2.5. With an average life expectancy of 75 years and 
7.2 billion inhabitants globally, we get total YOLL of 40
/10*0,61/75*7200000000</t>
        </r>
      </text>
    </comment>
    <comment ref="F74" authorId="0">
      <text>
        <r>
          <rPr>
            <sz val="9"/>
            <color indexed="81"/>
            <rFont val="Tahoma"/>
            <family val="2"/>
          </rPr>
          <t xml:space="preserve">There is an uncertainty to how representative US values are to the world, partly because of population uncertainty and partly because of aorosol properties.
</t>
        </r>
      </text>
    </comment>
    <comment ref="G74" authorId="0">
      <text>
        <r>
          <rPr>
            <sz val="9"/>
            <color indexed="81"/>
            <rFont val="Tahoma"/>
            <family val="2"/>
          </rPr>
          <t>Global emission of OC was 16.1 Tg 2005 according to http://edgar.jrc.ec.europa.eu/national_reported_data/htap.php. The trend was extrapolated to 17 Tg 2010. Primary emissions account for about 52% of BC in ambient air. (Gugamsetty et al, Aerosol and Air Quality Research, 12: 476–491, 2012)</t>
        </r>
      </text>
    </comment>
    <comment ref="H74" authorId="0">
      <text>
        <r>
          <rPr>
            <sz val="9"/>
            <color indexed="81"/>
            <rFont val="Tahoma"/>
            <family val="2"/>
          </rPr>
          <t>The population exposure varies sunstatially as the particle residence time is low and different particle compositions contribute differently to the effect.
The fact that the effect is life-long decreases the uncertainty.</t>
        </r>
      </text>
    </comment>
    <comment ref="G75" authorId="0">
      <text>
        <r>
          <rPr>
            <sz val="9"/>
            <color indexed="81"/>
            <rFont val="Tahoma"/>
            <family val="2"/>
          </rPr>
          <t xml:space="preserve">GWP for OC is -66.4 according to AR5 WG1 chapter 8 (Table 8.4) and global emissions.
. </t>
        </r>
      </text>
    </comment>
    <comment ref="B77" authorId="0">
      <text>
        <r>
          <rPr>
            <sz val="9"/>
            <color indexed="81"/>
            <rFont val="Tahoma"/>
            <family val="2"/>
          </rPr>
          <t>asthma cases are used as a proxy for the acute decreased lung capacity at episodes of exposure to higgh particle concentration</t>
        </r>
      </text>
    </comment>
    <comment ref="E77" authorId="0">
      <text>
        <r>
          <rPr>
            <sz val="9"/>
            <color indexed="81"/>
            <rFont val="Tahoma"/>
            <family val="2"/>
          </rPr>
          <t xml:space="preserve">Most of the studies on this issue were made in the 1990ies and before. Therfore the data from Steen, CPM report 1999:5 are used. (Available at lifecyclecenter.se)
</t>
        </r>
      </text>
    </comment>
    <comment ref="F77" authorId="0">
      <text>
        <r>
          <rPr>
            <sz val="9"/>
            <color indexed="81"/>
            <rFont val="Tahoma"/>
            <family val="2"/>
          </rPr>
          <t xml:space="preserve">There is an uncertainty in to what extent a hospital visit measures the extent of the effect, and an uncertainty about the global representativeness of the sensitivity data.
</t>
        </r>
      </text>
    </comment>
    <comment ref="G77" authorId="0">
      <text>
        <r>
          <rPr>
            <sz val="9"/>
            <color indexed="81"/>
            <rFont val="Tahoma"/>
            <family val="2"/>
          </rPr>
          <t>Global emission of OC was 16.1 Tg 2005 according to http://edgar.jrc.ec.europa.eu/national_reported_data/htap.php. The trend was extrapolated to 17 Tg 2010. Primary emissions account for about 52% of BC in ambient air. (Gugamsetty et al, Aerosol and Air Quality Research, 12: 476–491, 2012)</t>
        </r>
      </text>
    </comment>
    <comment ref="E78" authorId="0">
      <text>
        <r>
          <rPr>
            <sz val="9"/>
            <color indexed="81"/>
            <rFont val="Tahoma"/>
            <family val="2"/>
          </rPr>
          <t>"In 2008, there were about 822,500 hospital stays for chronic obstructive pulmonary disease (COPD) among adults age 40 years and older. In addition, another 3.8 million hospital stays included COPD as a secondary, or complicating, condition during an admission for some other problem.---with a 4.8 day mean length of hospitalization " from Overview of Hospitalizations among Patients with COPD, 2008
Statistical Brief #106 Lauren M Wier, MPH, Anne Elixhauser, PhD, Anne Pfuntner, BUEP, and David H Au, MD, MS. Published: February 2011. U.S. Department of Health &amp; Human Services, Agency for health care and quality research.
Accessed at http://www.ncbi.nlm.nih.gov/books/NBK53969/
To get a global estimate, the figure is scaled up to the global poulation.</t>
        </r>
      </text>
    </comment>
    <comment ref="G78" authorId="0">
      <text>
        <r>
          <rPr>
            <sz val="9"/>
            <color indexed="81"/>
            <rFont val="Tahoma"/>
            <family val="2"/>
          </rPr>
          <t>Global emission of OC was 16.1 Tg 2005 according to http://edgar.jrc.ec.europa.eu/national_reported_data/htap.php. The trend was extrapolated to 17 Tg 2010. Primary emissions account for about 52% of BC in ambient air. (Gugamsetty et al, Aerosol and Air Quality Research, 12: 476–491, 2012)</t>
        </r>
      </text>
    </comment>
    <comment ref="G79" authorId="0">
      <text>
        <r>
          <rPr>
            <sz val="9"/>
            <color indexed="81"/>
            <rFont val="Tahoma"/>
            <family val="2"/>
          </rPr>
          <t xml:space="preserve">GWP for OC is -66.4 according to AR5 WG1 chapter 8 (Table 8.4) and global emissions.
. </t>
        </r>
      </text>
    </comment>
    <comment ref="G80" authorId="0">
      <text>
        <r>
          <rPr>
            <sz val="9"/>
            <color indexed="81"/>
            <rFont val="Tahoma"/>
            <family val="2"/>
          </rPr>
          <t xml:space="preserve">GWP for OC is -66.4 according to AR5 WG1 chapter 8 (Table 8.4) and global emissions.
. </t>
        </r>
      </text>
    </comment>
    <comment ref="G81" authorId="0">
      <text>
        <r>
          <rPr>
            <sz val="9"/>
            <color indexed="81"/>
            <rFont val="Tahoma"/>
            <family val="2"/>
          </rPr>
          <t xml:space="preserve">GWP for OC is -66.4 according to AR5 WG1 chapter 8 (Table 8.4) and global emissions.
. </t>
        </r>
      </text>
    </comment>
    <comment ref="G82" authorId="0">
      <text>
        <r>
          <rPr>
            <sz val="9"/>
            <color indexed="81"/>
            <rFont val="Tahoma"/>
            <family val="2"/>
          </rPr>
          <t xml:space="preserve">GWP for OC is -66.4 according to AR5 WG1 chapter 8 (Table 8.4) and global emissions.
. </t>
        </r>
      </text>
    </comment>
    <comment ref="G83" authorId="0">
      <text>
        <r>
          <rPr>
            <sz val="9"/>
            <color indexed="81"/>
            <rFont val="Tahoma"/>
            <family val="2"/>
          </rPr>
          <t xml:space="preserve">GWP for OC is -66.4 according to AR5 WG1 chapter 8 (Table 8.4) and global emissions.
. </t>
        </r>
      </text>
    </comment>
    <comment ref="G84" authorId="0">
      <text>
        <r>
          <rPr>
            <sz val="9"/>
            <color indexed="81"/>
            <rFont val="Tahoma"/>
            <family val="2"/>
          </rPr>
          <t xml:space="preserve">GWP for OC is -66.4 according to AR5 WG1 chapter 8 (Table 8.4) and global emissions.
. </t>
        </r>
      </text>
    </comment>
    <comment ref="G85" authorId="0">
      <text>
        <r>
          <rPr>
            <sz val="9"/>
            <color indexed="81"/>
            <rFont val="Tahoma"/>
            <family val="2"/>
          </rPr>
          <t xml:space="preserve">GWP for OC is -66.4 according to AR5 WG1 chapter 8 (Table 8.4) and global emissions.
. </t>
        </r>
      </text>
    </comment>
    <comment ref="G86" authorId="0">
      <text>
        <r>
          <rPr>
            <sz val="9"/>
            <color indexed="81"/>
            <rFont val="Tahoma"/>
            <family val="2"/>
          </rPr>
          <t xml:space="preserve">GWP for OC is -66.4 according to AR5 WG1 chapter 8 (Table 8.4) and global emissions.
. </t>
        </r>
      </text>
    </comment>
    <comment ref="G87" authorId="0">
      <text>
        <r>
          <rPr>
            <sz val="9"/>
            <color indexed="81"/>
            <rFont val="Tahoma"/>
            <family val="2"/>
          </rPr>
          <t xml:space="preserve">GWP for OC is -66.4 according to AR5 WG1 chapter 8 (Table 8.4) and global emissions.
. </t>
        </r>
      </text>
    </comment>
    <comment ref="G88" authorId="0">
      <text>
        <r>
          <rPr>
            <sz val="9"/>
            <color indexed="81"/>
            <rFont val="Tahoma"/>
            <family val="2"/>
          </rPr>
          <t xml:space="preserve">GWP for OC is -66.4 according to AR5 WG1 chapter 8 (Table 8.4) and global emissions.
. </t>
        </r>
      </text>
    </comment>
    <comment ref="G89" authorId="0">
      <text>
        <r>
          <rPr>
            <sz val="9"/>
            <color indexed="81"/>
            <rFont val="Tahoma"/>
            <family val="2"/>
          </rPr>
          <t xml:space="preserve">GWP for OC is -66.4 according to AR5 WG1 chapter 8 (Table 8.4) and global emissions.
. </t>
        </r>
      </text>
    </comment>
    <comment ref="G90" authorId="0">
      <text>
        <r>
          <rPr>
            <sz val="9"/>
            <color indexed="81"/>
            <rFont val="Tahoma"/>
            <family val="2"/>
          </rPr>
          <t xml:space="preserve">GWP for OC is -66.4 according to AR5 WG1 chapter 8 (Table 8.4) and global emissions.
. </t>
        </r>
      </text>
    </comment>
    <comment ref="G91" authorId="0">
      <text>
        <r>
          <rPr>
            <sz val="9"/>
            <color indexed="81"/>
            <rFont val="Tahoma"/>
            <family val="2"/>
          </rPr>
          <t xml:space="preserve">GWP for OC is -66.4 according to AR5 WG1 chapter 8 (Table 8.4) and global emissions.
. </t>
        </r>
      </text>
    </comment>
    <comment ref="E94" authorId="0">
      <text>
        <r>
          <rPr>
            <sz val="9"/>
            <color indexed="81"/>
            <rFont val="Tahoma"/>
            <family val="2"/>
          </rPr>
          <t>USEPA estimates the lifetime risk for cancer to be 4.3E-3 /</t>
        </r>
        <r>
          <rPr>
            <sz val="9"/>
            <color indexed="81"/>
            <rFont val="Albertus MT"/>
            <family val="1"/>
          </rPr>
          <t>μ</t>
        </r>
        <r>
          <rPr>
            <sz val="9"/>
            <color indexed="81"/>
            <rFont val="Tahoma"/>
            <family val="2"/>
          </rPr>
          <t>g/m3 of As in air (2012) The mortality for lung cancer in the is  83%. (National Cancer Institute, http://seer.cancer.gov). The marginal  reduction of life expectancy is estimated to 5.8 years based on WHO estimates of global YOLL/years for different age groups and an average life expectancy of 70 years. 
The fate of an As particle are assumed to be the same as an average PM10 particle. The global emission of PM10 is estimated to 63 Tg/yr and the global average PM10 concentration to 61 μg/m3. (See model for PM10). Primary emissions contribute by 40% to the total particle mass. This means that 1 kg of As emitted to air will result in a concentration of 1E-9 μg/m3 and an impact of 4.3E-3*0.83*5.8*0.4*1E-9/70*7.2E9=8.52E-4 YOLL per year.</t>
        </r>
      </text>
    </comment>
    <comment ref="E95" authorId="0">
      <text>
        <r>
          <rPr>
            <sz val="9"/>
            <color indexed="81"/>
            <rFont val="Tahoma"/>
            <family val="2"/>
          </rPr>
          <t>Lifetime risk is 0.01 per ug/m3. (ESPREME, 2007, Exposure response functions for HM impacts on human health) The marginal  reduction of life expectancy is estimated to 5.0 years based on WHO estimates of global YOLL/years for different age groups and an average life expectancy of 70 years.
The fate of an As particle are assumed to be the same as an average PM10 particle. The global emission of PM10 is estimated to 63 Tg/yr and the global average PM10 concentration to 61 μg/m3. (See model for PM10). Primary emissions contribute by 40% to the total particle mass. This means that 1 kg of As emitted to air will result in a concentration of 1E-9 μg/m3 and an impact of 0.01*5*0.4*1E-9/70*7.2E9=2.06E-3 YOLL per year.</t>
        </r>
      </text>
    </comment>
    <comment ref="E96" authorId="0">
      <text>
        <r>
          <rPr>
            <sz val="9"/>
            <color indexed="81"/>
            <rFont val="Tahoma"/>
            <family val="2"/>
          </rPr>
          <t xml:space="preserve">An average morbidity time of three years is assumed
</t>
        </r>
      </text>
    </comment>
    <comment ref="E100" authorId="0">
      <text>
        <r>
          <rPr>
            <sz val="9"/>
            <color indexed="81"/>
            <rFont val="Tahoma"/>
            <family val="2"/>
          </rPr>
          <t>USEPA estimates the lifetime risk for cancer to be 1.8E-3 /</t>
        </r>
        <r>
          <rPr>
            <sz val="9"/>
            <color indexed="81"/>
            <rFont val="Albertus MT"/>
            <family val="1"/>
          </rPr>
          <t>μ</t>
        </r>
        <r>
          <rPr>
            <sz val="9"/>
            <color indexed="81"/>
            <rFont val="Tahoma"/>
            <family val="2"/>
          </rPr>
          <t>g/m3 of Cd in air (2012) The mortality for all sorts of cancer in the US was 34 % 2011. (National Cancer Institute, http://seer.cancer.gov).  The average reduction of life expectancy is estimated to 24 years. The global average life expectancy is 70 years.
The fate of an Cd particle is assumed to be the same as an average PM10 particle. The global emission of PM10 is estimated to 63 Tg/yr and the global average PM10 concentration to 61 μg/m3. (See model for PM10). This means that 1 kg of Cd emitted to air will result in a concentration of 1E-9 μg/m3 and an impact of 1.8E-3*0.34*24*1E-9/70*7.2E9 = 1.51E-2 YOLL per year.</t>
        </r>
      </text>
    </comment>
    <comment ref="E101" authorId="0">
      <text>
        <r>
          <rPr>
            <sz val="9"/>
            <color indexed="81"/>
            <rFont val="Tahoma"/>
            <family val="2"/>
          </rPr>
          <t>USEPA estimates the lifetime risk for cancer to be 1.8E-3 /</t>
        </r>
        <r>
          <rPr>
            <sz val="9"/>
            <color indexed="81"/>
            <rFont val="Albertus MT"/>
            <family val="1"/>
          </rPr>
          <t>μ</t>
        </r>
        <r>
          <rPr>
            <sz val="9"/>
            <color indexed="81"/>
            <rFont val="Tahoma"/>
            <family val="2"/>
          </rPr>
          <t>g/m3 of Cd in air (2012) The mortality for all sorts of cancer in the US was 34 % 2011. (National Cancer Institute, http://seer.cancer.gov).  The average morbidity time is estimated to 3 years. The global average life expectancy is 70 years.
The fate of an Cd particle is assumed to be the same as an average PM10 particle. The global emission of PM10 is estimated to 63 Tg/yr and the global average PM10 concentration to 61 μg/m3. (See model for PM10). This means that 1 kg of Cd emitted to air will result in a concentration of 1E-9 μg/m3 and an impact of 1.8E-3*0.66*3*1E-9/70*7.2E9 = 3.67E-3 YOLL per year.</t>
        </r>
      </text>
    </comment>
    <comment ref="E105" authorId="0">
      <text>
        <r>
          <rPr>
            <sz val="9"/>
            <color indexed="81"/>
            <rFont val="Tahoma"/>
            <family val="2"/>
          </rPr>
          <t>The cancer risk of CrVI+ has been estimated by WHO (INTERNATIONAL PROGRAMME ON CHEMICAL SAFETY, Concise International Chemical Assessment Document 78, 2013) to be in the order of 4·10-2 /</t>
        </r>
        <r>
          <rPr>
            <sz val="9"/>
            <color indexed="81"/>
            <rFont val="Albertus MT"/>
            <family val="1"/>
          </rPr>
          <t>μ</t>
        </r>
        <r>
          <rPr>
            <sz val="9"/>
            <color indexed="81"/>
            <rFont val="Tahoma"/>
            <family val="2"/>
          </rPr>
          <t>g/m3 expressed as a lifetime unit risk. The hexavalent part of Cr in ambient air is not known in a global context but was estimated by Scott et al (Scott, P.K., Finley, B.L., Harris, M.A. and Rabbe, D.R., (1997)  "Background Air Concentrations of Cr(VI) in Hudson County, New Yersey: Implications for setting Health based Standards for Cr(VI) in Soil", J. Air &amp; Waste Manage. Assoc., Vol 47, p.592-600) in New Jersey as an average to 26%.
The mortality for lung cancer is  83%. (National Cancer Institute, http://seer.cancer.gov). The marginal  reduction of life expectancy is estimated to 5.8 years based on WHO estimates of global YOLL/years for age groups below 70 years and an average life expectancy of 70 years. 
The fate of a Cr particle is assumed to be the same as an average PM10 particle. The global emission of PM10 is estimated to 63 Tg/yr and the global average PM10 concentration to 61 μg/m3. (See model for PM10). Primary particles contribute to 40% of the ambient particle mass. This means that 1 kg of Cr emitted to air will result in a concentration of 1E-9 μg/m3 and an impact of 0.26*4E-2*0.83*5.8*1E-9*0.4/70*7.2E9 = 2.06E-3 YOLL per year.</t>
        </r>
      </text>
    </comment>
    <comment ref="E106" authorId="0">
      <text>
        <r>
          <rPr>
            <sz val="9"/>
            <color indexed="81"/>
            <rFont val="Tahoma"/>
            <family val="2"/>
          </rPr>
          <t>The cancer risk of CrVI+ has been estimated by EPA to be in the order of 1.2 10-2 /</t>
        </r>
        <r>
          <rPr>
            <sz val="9"/>
            <color indexed="81"/>
            <rFont val="Albertus MT"/>
            <family val="1"/>
          </rPr>
          <t>μ</t>
        </r>
        <r>
          <rPr>
            <sz val="9"/>
            <color indexed="81"/>
            <rFont val="Tahoma"/>
            <family val="2"/>
          </rPr>
          <t>g/m3 expressed as a lifetime unit risk. The hexavalent part of this is not known in a global contexts but was estimated by Scott et al (Scott, P.K., Finley, B.L., Harris, M.A. and Rabbe, D.R., (1997)  "Background Air Concentrations of Cr(VI) in Hudson County, New Yersey: Implications for setting Health based Standards for Cr(VI) in Soil", J. Air &amp; Waste Manage. Assoc., Vol 47, p.592-600) in New Jersey as an average to 26%.
The mortality for lung cancer is 83 %. (National Cancer Institute, http://seer.cancer.gov).  The average disability is estimated to 3 years. 
The fate of a Cr particle is assumed to be the same as an average PM10 particle. The global emission of PM10 is estimated to 63 Tg/yr and the global average PM10 concentration to 61 μg/m3. (See model for PM10). Primary particles contribute to 40% of the ambient particle mass. This means that 1 kg of Cr emitted to air will result in a concentration of 1E-9 μg/m3 and an impact of 0.26*4E-2*0.17*3*1E-9*0.4/70*7.2E9 = 2.18E-4 YOLL per year.</t>
        </r>
      </text>
    </comment>
    <comment ref="E107" authorId="0">
      <text>
        <r>
          <rPr>
            <sz val="9"/>
            <color indexed="81"/>
            <rFont val="Tahoma"/>
            <family val="2"/>
          </rPr>
          <t>The cancer risk of CrVI+ has been estimated by EPA to be in the order of 1.2 10-2 /</t>
        </r>
        <r>
          <rPr>
            <sz val="9"/>
            <color indexed="81"/>
            <rFont val="Albertus MT"/>
            <family val="1"/>
          </rPr>
          <t>μ</t>
        </r>
        <r>
          <rPr>
            <sz val="9"/>
            <color indexed="81"/>
            <rFont val="Tahoma"/>
            <family val="2"/>
          </rPr>
          <t>g/m3 expressed as a lifetime unit risk. The hexavalent part of this is not known in a global contexts but was estimated by Scott et al (Scott, P.K., Finley, B.L., Harris, M.A. and Rabbe, D.R., (1997)  "Background Air Concentrations of Cr(VI) in Hudson County, New Yersey: Implications for setting Health based Standards for Cr(VI) in Soil", J. Air &amp; Waste Manage. Assoc., Vol 47, p.592-600) in New Jersey as an average to 26%.
The mortality for lung cancer is 83 %. (National Cancer Institute, http://seer.cancer.gov).  The average disability is estimated to 3 years. 
The fate of a Cr particle is assumed to be the same as an average PM10 particle. The global emission of PM10 is estimated to 63 Tg/yr and the global average PM10 concentration to 61 μg/m3. (See model for PM10). Primary particles contribute to 40% of the ambient particle mass. This means that 1 kg of Cr emitted to air will result in a concentration of 1E-9 μg/m3 and an impact of 0.26*4E-2*0.17*3*1E-9*0.4/70*7.2E9 = 2.18E-4 YOLL per year.</t>
        </r>
      </text>
    </comment>
    <comment ref="E109" authorId="0">
      <text>
        <r>
          <rPr>
            <sz val="9"/>
            <color indexed="81"/>
            <rFont val="Tahoma"/>
            <family val="2"/>
          </rPr>
          <t>The rate of soil mineralisation is decreased at increased Cu concentration, but in the long run a new steady state is
formed, with thicker soil layer and  equal release nutrients.</t>
        </r>
      </text>
    </comment>
    <comment ref="E111" authorId="0">
      <text>
        <r>
          <rPr>
            <sz val="9"/>
            <color indexed="81"/>
            <rFont val="Tahoma"/>
            <family val="2"/>
          </rPr>
          <t>The lifetime risk for cancer to be 3.8x10-4/ugm-3 of Ni in air (ESPREME 2008) The mortality for lung cancer is  83%. (National Cancer Institute, http://seer.cancer.gov). The marginal  reduction of life expectancy is estimated to 5.8 years based on WHO estimates of global YOLL/years for different age groups and an average life expectancy of 70 years. 
The fate of an Ni particle is assumed to be the same as an average PM10 particle. The global emission of PM10 is estimated to 63 Tg/yr and the global average PM10 concentration to 61 μg/m3. (See model for PM10). Primary particles contribute to 40% of the ambient particle mass. This means that 1 kg of Ni emitted to air will result in a concentration of 1E-9 μg/m3 and an impact of 3.8E-4*0.83*5.8*1E-9*0.4/70*7.2E9 = 7.53E-5 YOLL per year.</t>
        </r>
      </text>
    </comment>
    <comment ref="E112" authorId="0">
      <text>
        <r>
          <rPr>
            <sz val="9"/>
            <color indexed="81"/>
            <rFont val="Tahoma"/>
            <family val="2"/>
          </rPr>
          <t>The lifetime risk for cancer to be 3.8x10-4/ugm-3 of Ni in air (ESPREME 2008) The mortality for all sorts of cancer in the US was 34 % 2011. (National Cancer Institute, http://seer.cancer.gov).  The average reduction of life expectancy is estimated to 24 years. The global average life expectancy is 70 years.
The fate of an Ni particle is assumed to be the same as an average PM10 particle. The global emission of PM10 is estimated to 63 Tg/yr and the global average PM10 concentration to 61 μg/m3. (See model for PM10). Primary particles contribute to 40% of the ambient particle mass. This means that 1 kg of Ni emitted to air will result in a concentration of 1E-9 μg/m3 and an impact of 3.8E-4*0.17*3*1E-9*0.4/70*7.2E9 = 7.97E-6 personyears per year.</t>
        </r>
      </text>
    </comment>
    <comment ref="E113" authorId="0">
      <text>
        <r>
          <rPr>
            <sz val="9"/>
            <color indexed="81"/>
            <rFont val="Tahoma"/>
            <family val="2"/>
          </rPr>
          <t>The rate of soil mineralisation is decreased at increased Cu concentration, but in the long run a new steady state is
formed, with thicker soil layer and  equal release nutrients.</t>
        </r>
      </text>
    </comment>
    <comment ref="E116" authorId="0">
      <text>
        <r>
          <rPr>
            <sz val="9"/>
            <color indexed="81"/>
            <rFont val="Tahoma"/>
            <family val="2"/>
          </rPr>
          <t xml:space="preserve">"Lead exposure in children is linked to a lowering of their IQ. Epidemiological studies consistently find adverse effects in children at blood lead levels down to10 μg/dl. Recent studies reported lead-induced IQ decrements in children with blood lead levels below 10 μg/dl. There is presently no known threshold for the effect of lead. Available data indicate a substantial falling trend in environmental lead exposure in many developed countries mainly due to the elimination of lead from petrol, but also to reductions in other sources of exposure (e.g., lead in paint, lead in drinking water and lead in soldered cans). Thus, in the United States of America in the 1970s, over 80 per cent of children had blood lead levels (Pb-B) exceeding 10 μg/dl, but, in a 1999–2002 study, fewer than 2 per cent exceeded this level" (Cited from UNEP, Final review of scientific information on lead, Version of December 2010) Leaded gasoline is expected by UNEP to be completely phased out 2013. Studies by USEPA show that all sites where lead is monitored measure concentrations below 0.15 ug/m3. According to the EU ESPREME project, the dose respons function for lead is 0.1 IQ-point per ug/m3. As we use DALY-categories for health impacts, there is no contribution to the category "mild mental retardation" from these exposures. Therefore the impact from lead air emissions are expected to be very low and restricted to a few locations of point sources like smelters. The number of affected persons would then at maximum be in the order of ten thousands or 100 thousands. 
</t>
        </r>
      </text>
    </comment>
    <comment ref="G116" authorId="0">
      <text>
        <r>
          <rPr>
            <sz val="9"/>
            <color indexed="81"/>
            <rFont val="Tahoma"/>
            <family val="2"/>
          </rPr>
          <t>The most recent study of total anthropogenic atmospheric emissions estimated the total emissions in the mid-1990s at 120,000 tonnes, of which 89,000 tonnes originated from the use of petrol additives. Besides fuel additives, non-ferrous metal production and coal combustion were the major sources.
The global consumption of lead for manufacturing of petrol additives decreased from 31,500 tonnes in 1998 to 14,400 tonnes in 2003 and is supposed to be phased out by now.</t>
        </r>
      </text>
    </comment>
    <comment ref="E117" authorId="0">
      <text>
        <r>
          <rPr>
            <sz val="9"/>
            <color indexed="81"/>
            <rFont val="Tahoma"/>
            <family val="2"/>
          </rPr>
          <t>The rate of soil mineralisation is decreased at increased Pb concentration, but in the long run a new steady state is
formed, with thicker soil layer and  equal release nutrients.</t>
        </r>
      </text>
    </comment>
    <comment ref="E122" authorId="0">
      <text>
        <r>
          <rPr>
            <sz val="9"/>
            <color indexed="81"/>
            <rFont val="Tahoma"/>
            <family val="2"/>
          </rPr>
          <t>Globally, incremental lifetime lung cancer risk (ILCR) induced by ambient PAH exposure is 3.1E−5. (Huizhong Shen, Shu Tao, Junfeng Liu, Ye Huang, Han Chen, Wei Li, Yanyan Zhang,   Yuanchen Chen, Shu Su, Nan Lin, Yinyin Xu,    Bengang Li, Xilong Wang &amp; Wenxin Liu 
Global lung cancer risk from PAH exposure highly depends on emission sources and individual susceptibility, Nature, Scientific Reports 4, Article Number: 6561 doi:10.1038/srep06561, Oct 2014)</t>
        </r>
      </text>
    </comment>
    <comment ref="G122" authorId="0">
      <text>
        <r>
          <rPr>
            <sz val="9"/>
            <color indexed="81"/>
            <rFont val="Tahoma"/>
            <family val="2"/>
          </rPr>
          <t xml:space="preserve">Yanxu Zhang and Shu Tao, (global atmospheric emission inventory of polycyclic aromatic hydrocarbons (PAHs) for 2004, Atmospheric Environment Volume 43, Issue 4, February 2009, Pages 812–819) estimated the global PAH16 emission to 520 Gg/yr.
</t>
        </r>
      </text>
    </comment>
    <comment ref="E123" authorId="0">
      <text>
        <r>
          <rPr>
            <sz val="9"/>
            <color indexed="81"/>
            <rFont val="Tahoma"/>
            <family val="2"/>
          </rPr>
          <t>Globally, incremental lifetime lung cancer risk (ILCR) induced by ambient PAH exposure is 3.1E−5. (Huizhong Shen, Shu Tao, Junfeng Liu, Ye Huang, Han Chen, Wei Li, Yanyan Zhang,   Yuanchen Chen, Shu Su, Nan Lin, Yinyin Xu,    Bengang Li, Xilong Wang &amp; Wenxin Liu 
Global lung cancer risk from PAH exposure highly depends on emission sources and individual susceptibility, Nature, Scientific Reports 4, Article Number: 6561 doi:10.1038/srep06561, Oct 2014)</t>
        </r>
      </text>
    </comment>
    <comment ref="G123" authorId="0">
      <text>
        <r>
          <rPr>
            <sz val="9"/>
            <color indexed="81"/>
            <rFont val="Tahoma"/>
            <family val="2"/>
          </rPr>
          <t xml:space="preserve">Yanxu Zhang and Shu Tao, (global atmospheric emission inventory of polycyclic aromatic hydrocarbons (PAHs) for 2004, Atmospheric Environment Volume 43, Issue 4, February 2009, Pages 812–819) estimated the global PAH16 emission to 520 Gg/yr.
</t>
        </r>
      </text>
    </comment>
    <comment ref="E126" authorId="0">
      <text>
        <r>
          <rPr>
            <sz val="9"/>
            <color indexed="81"/>
            <rFont val="Tahoma"/>
            <family val="2"/>
          </rPr>
          <t xml:space="preserve">Today there is not sufficient evidence to classify TCDD as a human carcinogen (Boffetta P1, Mundt KA, Adami HO, Cole P, Mandel JS, Crit Rev Toxicol. 2011 Aug;41(7):622-36.
</t>
        </r>
      </text>
    </comment>
  </commentList>
</comments>
</file>

<file path=xl/comments9.xml><?xml version="1.0" encoding="utf-8"?>
<comments xmlns="http://schemas.openxmlformats.org/spreadsheetml/2006/main">
  <authors>
    <author>Bengt Steen</author>
  </authors>
  <commentList>
    <comment ref="D1" authorId="0">
      <text>
        <r>
          <rPr>
            <sz val="8"/>
            <color indexed="81"/>
            <rFont val="Tahoma"/>
            <family val="2"/>
          </rPr>
          <t xml:space="preserve">GWP100 including feedback mechanisms (IPCC AR5 WGI Table 8SM16)
</t>
        </r>
      </text>
    </comment>
    <comment ref="F1" authorId="0">
      <text>
        <r>
          <rPr>
            <sz val="9"/>
            <color indexed="81"/>
            <rFont val="Tahoma"/>
            <family val="2"/>
          </rPr>
          <t xml:space="preserve">WMO 2006
</t>
        </r>
      </text>
    </comment>
    <comment ref="D4" authorId="0">
      <text>
        <r>
          <rPr>
            <sz val="8"/>
            <color indexed="81"/>
            <rFont val="Tahoma"/>
            <family val="2"/>
          </rPr>
          <t xml:space="preserve">GWP100 including feedback mechanisms (IPCC AR5 WGI Table 8SM16)
</t>
        </r>
      </text>
    </comment>
    <comment ref="E4" authorId="0">
      <text>
        <r>
          <rPr>
            <sz val="9"/>
            <color indexed="81"/>
            <rFont val="Tahoma"/>
            <family val="2"/>
          </rPr>
          <t>There are indirect but highly uncertain effects on stratospheric ozone, that could lower the net GWP with about 1600.(WMO, report nr 52,
SCIENTIFIC ASSESSMENT OF
OZONE DEPLETION: 2010)</t>
        </r>
      </text>
    </comment>
    <comment ref="F4" authorId="0">
      <text>
        <r>
          <rPr>
            <sz val="9"/>
            <color indexed="81"/>
            <rFont val="Tahoma"/>
            <family val="2"/>
          </rPr>
          <t xml:space="preserve">ODP3, WMO 2006
</t>
        </r>
      </text>
    </comment>
    <comment ref="H4" authorId="0">
      <text>
        <r>
          <rPr>
            <sz val="9"/>
            <color indexed="81"/>
            <rFont val="Tahoma"/>
            <family val="2"/>
          </rPr>
          <t xml:space="preserve">The emisssion scenario based on the copenhagen amendment to the Montreal protocol is used. For that, WHO estimates an average incidence of around 50 cases per million inhabitants per year until 2100, when excess cancer incidence cease. There are three types of skin cancer: melanoma,  squamous cell carcinoma (SCC), and basal cell carcinoma (BCC). Mortality in skin cancer is low, about 12% for melanoma and 0,2% for SCC and BCC. If applying the ratio of predicted cancer incidences for melanoma vs SCC + BCC the US (HUMAN HEALTH BENEFITS OF STRATOSPHERIC OZONE PROTECTION, USEPA April 2006) which estimate the mealnoma incidence to 2.7% of all cases, the global mortality rate until 2100 will be 50/1E6*7.2E9*88*(0.12*0.027+0.002*0.973)=1.64E5.
The average shortening of life due to cancer is 24 years. This means that there are 3.94E6 YOLLs caused by ozone depletion.
The total emission of ozone depletion substances to 2100 is estimated from a scenario made by A. R. Ravishankara, et al. (Science 326, 123 (2009)) to 22000 kton or 2.2E10 kg CFC11 equivalents. An emission of 1 kg CFC11 eqivalents therefore contributes with 3.94E6/2.2E10 YOLLs = 1.79E-4.
</t>
        </r>
      </text>
    </comment>
    <comment ref="J4" authorId="0">
      <text>
        <r>
          <rPr>
            <sz val="9"/>
            <color indexed="81"/>
            <rFont val="Tahoma"/>
            <family val="2"/>
          </rPr>
          <t xml:space="preserve">The emisssion scenario based on the copenhagen amendment to the Montreal protocol is used. For that, WHO estimates an average incidence of around 50 cases per million inhabitants per year until 2100, when excess cancer incidence cease. There are three types of skin cancer: melanoma,  squamous cell carcinoma (SCC), and basal cell carcinoma (BCC). Mortality in skin cancer is low, about 12% for melanoma and 0,2% for SCC and BCC. If applying the ratio of predicted cancer incidences for melanoma vs SCC + BCC the US (HUMAN HEALTH BENEFITS OF STRATOSPHERIC OZONE PROTECTION, USEPA April 2006) which estimate the mealnoma incidence to 2.7% of all cases. The duration of disability due to skin cancers (Cancer: diagnosis and primary therapy) is estimated to be rather short, 1 mounth. We thus get 50/1000000*7E9/12 = 2.92E4 personyears of cancer disability.
The total emission of ozone depletion substances to 2100 is estimated from a scenario made by A. R. Ravishankara, et al. (Science 326, 123 (2009)) to 22000 kton or 2.2E10 kg CFC11 equivalents. An emission of 1 kg CFC11 eqivalents therefore contributes with 2.92E4/2.2E10 YOLLs = 1.33E-6.
</t>
        </r>
      </text>
    </comment>
    <comment ref="K4" authorId="0">
      <text>
        <r>
          <rPr>
            <sz val="9"/>
            <color indexed="81"/>
            <rFont val="Tahoma"/>
            <family val="2"/>
          </rPr>
          <t>USEPA (PROTECTING THE OZONE LAYER PROTECTS EYESIGHT, 2010) estimates that in the US there will be 457 500 cataract cases until 2100 with the 1997 amendments to the Montreal protocol. Considering that there is a bias towards the northen part of the US in cataract frequency, the US figures canno0t directly be scaled up to represent global conditions, but in lack better assessments, it is here assumed to be relevant for people living in simailar latitudes, i.e. about 2 billion people. This means that the global cataract incidence to 2100 would be 457500/313*2000 = 2.92E6 cases. Most cataract cases are operated, but time to operation would be a year or so. An average disabled time of 2 years is assumed, in order to include thos cases that will not be operated. The total state indicator value is thus 5.85E6 personyears. 
The total emission of ozone depletion substances until 2100 is estimated from a scenario made by A. R. Ravishankara, et al. (Science 326, 123 (2009)) to 22000 kton or 2.2E10 kg CFC11 equivalents. An emission of 1 kg CFC11 eqivalents therefore contributes with 5.85E6/2.2E10 personyears = 2.66E-4</t>
        </r>
      </text>
    </comment>
    <comment ref="D5" authorId="0">
      <text>
        <r>
          <rPr>
            <sz val="8"/>
            <color indexed="81"/>
            <rFont val="Tahoma"/>
            <family val="2"/>
          </rPr>
          <t xml:space="preserve">GWP100 including feedback mechanisms (IPCC AR5 WGI Table 8SM16)
</t>
        </r>
      </text>
    </comment>
    <comment ref="E5" authorId="0">
      <text>
        <r>
          <rPr>
            <sz val="9"/>
            <color indexed="81"/>
            <rFont val="Tahoma"/>
            <family val="2"/>
          </rPr>
          <t>There are indirect but highly uncertain effects on stratospheric ozone, that could lower the net GWP with about 1270
.(WMO, report nr 52,
SCIENTIFIC ASSESSMENT OF
OZONE DEPLETION: 2010)</t>
        </r>
      </text>
    </comment>
    <comment ref="F5" authorId="0">
      <text>
        <r>
          <rPr>
            <sz val="9"/>
            <color indexed="81"/>
            <rFont val="Tahoma"/>
            <family val="2"/>
          </rPr>
          <t xml:space="preserve">ODP3, WMO 2006
</t>
        </r>
      </text>
    </comment>
    <comment ref="H5" authorId="0">
      <text>
        <r>
          <rPr>
            <sz val="9"/>
            <color indexed="81"/>
            <rFont val="Tahoma"/>
            <family val="2"/>
          </rPr>
          <t xml:space="preserve">See note on CFC-11
</t>
        </r>
      </text>
    </comment>
    <comment ref="J5" authorId="0">
      <text>
        <r>
          <rPr>
            <sz val="9"/>
            <color indexed="81"/>
            <rFont val="Tahoma"/>
            <family val="2"/>
          </rPr>
          <t xml:space="preserve">See notes on CFC11
</t>
        </r>
      </text>
    </comment>
    <comment ref="K5" authorId="0">
      <text>
        <r>
          <rPr>
            <sz val="9"/>
            <color indexed="81"/>
            <rFont val="Tahoma"/>
            <family val="2"/>
          </rPr>
          <t xml:space="preserve">See notes on CFC11
</t>
        </r>
      </text>
    </comment>
    <comment ref="D6" authorId="0">
      <text>
        <r>
          <rPr>
            <sz val="8"/>
            <color indexed="81"/>
            <rFont val="Tahoma"/>
            <family val="2"/>
          </rPr>
          <t xml:space="preserve">GWP100 including feedback mechanisms (IPCC AR5 WGI Table 8SM16)
</t>
        </r>
      </text>
    </comment>
    <comment ref="F6" authorId="0">
      <text>
        <r>
          <rPr>
            <sz val="8"/>
            <color indexed="81"/>
            <rFont val="Tahoma"/>
            <family val="2"/>
          </rPr>
          <t xml:space="preserve">assumed value
</t>
        </r>
      </text>
    </comment>
    <comment ref="H6" authorId="0">
      <text>
        <r>
          <rPr>
            <sz val="9"/>
            <color indexed="81"/>
            <rFont val="Tahoma"/>
            <family val="2"/>
          </rPr>
          <t xml:space="preserve">See note on CFC-11
</t>
        </r>
      </text>
    </comment>
    <comment ref="J6" authorId="0">
      <text>
        <r>
          <rPr>
            <sz val="9"/>
            <color indexed="81"/>
            <rFont val="Tahoma"/>
            <family val="2"/>
          </rPr>
          <t xml:space="preserve">See notes on CFC11
</t>
        </r>
      </text>
    </comment>
    <comment ref="K6" authorId="0">
      <text>
        <r>
          <rPr>
            <sz val="9"/>
            <color indexed="81"/>
            <rFont val="Tahoma"/>
            <family val="2"/>
          </rPr>
          <t xml:space="preserve">See notes on CFC11
</t>
        </r>
      </text>
    </comment>
    <comment ref="D7" authorId="0">
      <text>
        <r>
          <rPr>
            <sz val="9"/>
            <color indexed="81"/>
            <rFont val="Tahoma"/>
            <family val="2"/>
          </rPr>
          <t xml:space="preserve">No GWP vallue was found in literature. The value used represent the average GWP100 for the other CFCs in this list
</t>
        </r>
      </text>
    </comment>
    <comment ref="F7" authorId="0">
      <text>
        <r>
          <rPr>
            <sz val="9"/>
            <color indexed="81"/>
            <rFont val="Tahoma"/>
            <family val="2"/>
          </rPr>
          <t xml:space="preserve">ODP2 Class I Ozone-depleting Substances, USEPA 2014
</t>
        </r>
      </text>
    </comment>
    <comment ref="H7" authorId="0">
      <text>
        <r>
          <rPr>
            <sz val="9"/>
            <color indexed="81"/>
            <rFont val="Tahoma"/>
            <family val="2"/>
          </rPr>
          <t xml:space="preserve">See note on CFC-11
</t>
        </r>
      </text>
    </comment>
    <comment ref="J7" authorId="0">
      <text>
        <r>
          <rPr>
            <sz val="9"/>
            <color indexed="81"/>
            <rFont val="Tahoma"/>
            <family val="2"/>
          </rPr>
          <t xml:space="preserve">See notes on CFC11
</t>
        </r>
      </text>
    </comment>
    <comment ref="K7" authorId="0">
      <text>
        <r>
          <rPr>
            <sz val="9"/>
            <color indexed="81"/>
            <rFont val="Tahoma"/>
            <family val="2"/>
          </rPr>
          <t xml:space="preserve">See notes on CFC11
</t>
        </r>
      </text>
    </comment>
    <comment ref="D8" authorId="0">
      <text>
        <r>
          <rPr>
            <sz val="9"/>
            <color indexed="81"/>
            <rFont val="Tahoma"/>
            <family val="2"/>
          </rPr>
          <t xml:space="preserve">No GWP vallue was found in literature. The value used represent the average GWP100 for the other CFCs in this list
</t>
        </r>
      </text>
    </comment>
    <comment ref="F8" authorId="0">
      <text>
        <r>
          <rPr>
            <sz val="9"/>
            <color indexed="81"/>
            <rFont val="Tahoma"/>
            <family val="2"/>
          </rPr>
          <t xml:space="preserve">ODP2 Class I Ozone-depleting Substances, USEPA 2014
</t>
        </r>
      </text>
    </comment>
    <comment ref="H8" authorId="0">
      <text>
        <r>
          <rPr>
            <sz val="9"/>
            <color indexed="81"/>
            <rFont val="Tahoma"/>
            <family val="2"/>
          </rPr>
          <t xml:space="preserve">See note on CFC-11
</t>
        </r>
      </text>
    </comment>
    <comment ref="J8" authorId="0">
      <text>
        <r>
          <rPr>
            <sz val="9"/>
            <color indexed="81"/>
            <rFont val="Tahoma"/>
            <family val="2"/>
          </rPr>
          <t xml:space="preserve">See notes on CFC11
</t>
        </r>
      </text>
    </comment>
    <comment ref="K8" authorId="0">
      <text>
        <r>
          <rPr>
            <sz val="9"/>
            <color indexed="81"/>
            <rFont val="Tahoma"/>
            <family val="2"/>
          </rPr>
          <t xml:space="preserve">See notes on CFC11
</t>
        </r>
      </text>
    </comment>
    <comment ref="D9" authorId="0">
      <text>
        <r>
          <rPr>
            <sz val="8"/>
            <color indexed="81"/>
            <rFont val="Tahoma"/>
            <family val="2"/>
          </rPr>
          <t xml:space="preserve">GWP100 including feedback mechanisms (IPCC AR5 WGI Table 8SM16)
</t>
        </r>
      </text>
    </comment>
    <comment ref="F9" authorId="0">
      <text>
        <r>
          <rPr>
            <sz val="9"/>
            <color indexed="81"/>
            <rFont val="Tahoma"/>
            <family val="2"/>
          </rPr>
          <t xml:space="preserve">ODP3, WMO 2006
</t>
        </r>
      </text>
    </comment>
    <comment ref="H9" authorId="0">
      <text>
        <r>
          <rPr>
            <sz val="9"/>
            <color indexed="81"/>
            <rFont val="Tahoma"/>
            <family val="2"/>
          </rPr>
          <t xml:space="preserve">See note on CFC-11
</t>
        </r>
      </text>
    </comment>
    <comment ref="J9" authorId="0">
      <text>
        <r>
          <rPr>
            <sz val="9"/>
            <color indexed="81"/>
            <rFont val="Tahoma"/>
            <family val="2"/>
          </rPr>
          <t xml:space="preserve">See notes on CFC11
</t>
        </r>
      </text>
    </comment>
    <comment ref="K9" authorId="0">
      <text>
        <r>
          <rPr>
            <sz val="9"/>
            <color indexed="81"/>
            <rFont val="Tahoma"/>
            <family val="2"/>
          </rPr>
          <t xml:space="preserve">See notes on CFC11
</t>
        </r>
      </text>
    </comment>
    <comment ref="D10" authorId="0">
      <text>
        <r>
          <rPr>
            <sz val="8"/>
            <color indexed="81"/>
            <rFont val="Tahoma"/>
            <family val="2"/>
          </rPr>
          <t xml:space="preserve">GWP100 including feedback mechanisms (IPCC AR5 WGI Table 8SM16)
</t>
        </r>
      </text>
    </comment>
    <comment ref="F10" authorId="0">
      <text>
        <r>
          <rPr>
            <sz val="9"/>
            <color indexed="81"/>
            <rFont val="Tahoma"/>
            <family val="2"/>
          </rPr>
          <t xml:space="preserve">ODP3, WMO 2006
</t>
        </r>
      </text>
    </comment>
    <comment ref="H10" authorId="0">
      <text>
        <r>
          <rPr>
            <sz val="9"/>
            <color indexed="81"/>
            <rFont val="Tahoma"/>
            <family val="2"/>
          </rPr>
          <t xml:space="preserve">See note on CFC-11
</t>
        </r>
      </text>
    </comment>
    <comment ref="J10" authorId="0">
      <text>
        <r>
          <rPr>
            <sz val="9"/>
            <color indexed="81"/>
            <rFont val="Tahoma"/>
            <family val="2"/>
          </rPr>
          <t xml:space="preserve">See notes on CFC11
</t>
        </r>
      </text>
    </comment>
    <comment ref="K10" authorId="0">
      <text>
        <r>
          <rPr>
            <sz val="9"/>
            <color indexed="81"/>
            <rFont val="Tahoma"/>
            <family val="2"/>
          </rPr>
          <t xml:space="preserve">See notes on CFC11
</t>
        </r>
      </text>
    </comment>
    <comment ref="D11" authorId="0">
      <text>
        <r>
          <rPr>
            <sz val="8"/>
            <color indexed="81"/>
            <rFont val="Tahoma"/>
            <family val="2"/>
          </rPr>
          <t xml:space="preserve">GWP100 including feedback mechanisms (IPCC AR5 WGI Table 8SM16)
</t>
        </r>
      </text>
    </comment>
    <comment ref="F11" authorId="0">
      <text>
        <r>
          <rPr>
            <sz val="9"/>
            <color indexed="81"/>
            <rFont val="Tahoma"/>
            <family val="2"/>
          </rPr>
          <t xml:space="preserve">ODP3, WMO 2006
</t>
        </r>
      </text>
    </comment>
    <comment ref="H11" authorId="0">
      <text>
        <r>
          <rPr>
            <sz val="9"/>
            <color indexed="81"/>
            <rFont val="Tahoma"/>
            <family val="2"/>
          </rPr>
          <t xml:space="preserve">See note on CFC-11
</t>
        </r>
      </text>
    </comment>
    <comment ref="J11" authorId="0">
      <text>
        <r>
          <rPr>
            <sz val="9"/>
            <color indexed="81"/>
            <rFont val="Tahoma"/>
            <family val="2"/>
          </rPr>
          <t xml:space="preserve">See notes on CFC11
</t>
        </r>
      </text>
    </comment>
    <comment ref="K11" authorId="0">
      <text>
        <r>
          <rPr>
            <sz val="9"/>
            <color indexed="81"/>
            <rFont val="Tahoma"/>
            <family val="2"/>
          </rPr>
          <t xml:space="preserve">See notes on CFC11
</t>
        </r>
      </text>
    </comment>
    <comment ref="D12" authorId="0">
      <text>
        <r>
          <rPr>
            <sz val="9"/>
            <color indexed="81"/>
            <rFont val="Tahoma"/>
            <family val="2"/>
          </rPr>
          <t xml:space="preserve">No GWP vallue was found in literature. The value used represent the average GWP100 for the other CFCs in this list
</t>
        </r>
      </text>
    </comment>
    <comment ref="F12" authorId="0">
      <text>
        <r>
          <rPr>
            <sz val="9"/>
            <color indexed="81"/>
            <rFont val="Tahoma"/>
            <family val="2"/>
          </rPr>
          <t xml:space="preserve">ODP2 Class I Ozone-depleting Substances, USEPA 2014
</t>
        </r>
      </text>
    </comment>
    <comment ref="H12" authorId="0">
      <text>
        <r>
          <rPr>
            <sz val="9"/>
            <color indexed="81"/>
            <rFont val="Tahoma"/>
            <family val="2"/>
          </rPr>
          <t xml:space="preserve">See note on CFC-11
</t>
        </r>
      </text>
    </comment>
    <comment ref="J12" authorId="0">
      <text>
        <r>
          <rPr>
            <sz val="9"/>
            <color indexed="81"/>
            <rFont val="Tahoma"/>
            <family val="2"/>
          </rPr>
          <t xml:space="preserve">See notes on CFC11
</t>
        </r>
      </text>
    </comment>
    <comment ref="K12" authorId="0">
      <text>
        <r>
          <rPr>
            <sz val="9"/>
            <color indexed="81"/>
            <rFont val="Tahoma"/>
            <family val="2"/>
          </rPr>
          <t xml:space="preserve">See notes on CFC11
</t>
        </r>
      </text>
    </comment>
    <comment ref="D13" authorId="0">
      <text>
        <r>
          <rPr>
            <sz val="9"/>
            <color indexed="81"/>
            <rFont val="Tahoma"/>
            <family val="2"/>
          </rPr>
          <t xml:space="preserve">No GWP vallue was found in literature. The value used represent the average GWP100 for the other CFCs in this list
</t>
        </r>
      </text>
    </comment>
    <comment ref="F13" authorId="0">
      <text>
        <r>
          <rPr>
            <sz val="9"/>
            <color indexed="81"/>
            <rFont val="Tahoma"/>
            <family val="2"/>
          </rPr>
          <t xml:space="preserve">ODP2 Class I Ozone-depleting Substances, USEPA 2014
</t>
        </r>
      </text>
    </comment>
    <comment ref="H13" authorId="0">
      <text>
        <r>
          <rPr>
            <sz val="9"/>
            <color indexed="81"/>
            <rFont val="Tahoma"/>
            <family val="2"/>
          </rPr>
          <t xml:space="preserve">See note on CFC-11
</t>
        </r>
      </text>
    </comment>
    <comment ref="J13" authorId="0">
      <text>
        <r>
          <rPr>
            <sz val="9"/>
            <color indexed="81"/>
            <rFont val="Tahoma"/>
            <family val="2"/>
          </rPr>
          <t xml:space="preserve">See notes on CFC11
</t>
        </r>
      </text>
    </comment>
    <comment ref="K13" authorId="0">
      <text>
        <r>
          <rPr>
            <sz val="9"/>
            <color indexed="81"/>
            <rFont val="Tahoma"/>
            <family val="2"/>
          </rPr>
          <t xml:space="preserve">See notes on CFC11
</t>
        </r>
      </text>
    </comment>
    <comment ref="D14" authorId="0">
      <text>
        <r>
          <rPr>
            <sz val="9"/>
            <color indexed="81"/>
            <rFont val="Tahoma"/>
            <family val="2"/>
          </rPr>
          <t xml:space="preserve">No GWP vallue was found in literature. The value used represent the average GWP100 for the other CFCs in this list
</t>
        </r>
      </text>
    </comment>
    <comment ref="F14" authorId="0">
      <text>
        <r>
          <rPr>
            <sz val="9"/>
            <color indexed="81"/>
            <rFont val="Tahoma"/>
            <family val="2"/>
          </rPr>
          <t xml:space="preserve">ODP2 Class I Ozone-depleting Substances, USEPA 2014
</t>
        </r>
      </text>
    </comment>
    <comment ref="H14" authorId="0">
      <text>
        <r>
          <rPr>
            <sz val="9"/>
            <color indexed="81"/>
            <rFont val="Tahoma"/>
            <family val="2"/>
          </rPr>
          <t xml:space="preserve">See note on CFC-11
</t>
        </r>
      </text>
    </comment>
    <comment ref="J14" authorId="0">
      <text>
        <r>
          <rPr>
            <sz val="9"/>
            <color indexed="81"/>
            <rFont val="Tahoma"/>
            <family val="2"/>
          </rPr>
          <t xml:space="preserve">See notes on CFC11
</t>
        </r>
      </text>
    </comment>
    <comment ref="K14" authorId="0">
      <text>
        <r>
          <rPr>
            <sz val="9"/>
            <color indexed="81"/>
            <rFont val="Tahoma"/>
            <family val="2"/>
          </rPr>
          <t xml:space="preserve">See notes on CFC11
</t>
        </r>
      </text>
    </comment>
    <comment ref="D15" authorId="0">
      <text>
        <r>
          <rPr>
            <sz val="9"/>
            <color indexed="81"/>
            <rFont val="Tahoma"/>
            <family val="2"/>
          </rPr>
          <t xml:space="preserve">No GWP vallue was found in literature. The value used represent the average GWP100 for the other CFCs in this list
</t>
        </r>
      </text>
    </comment>
    <comment ref="F15" authorId="0">
      <text>
        <r>
          <rPr>
            <sz val="9"/>
            <color indexed="81"/>
            <rFont val="Tahoma"/>
            <family val="2"/>
          </rPr>
          <t xml:space="preserve">ODP2 Class I Ozone-depleting Substances, USEPA 2014
</t>
        </r>
      </text>
    </comment>
    <comment ref="H15" authorId="0">
      <text>
        <r>
          <rPr>
            <sz val="9"/>
            <color indexed="81"/>
            <rFont val="Tahoma"/>
            <family val="2"/>
          </rPr>
          <t xml:space="preserve">See note on CFC-11
</t>
        </r>
      </text>
    </comment>
    <comment ref="J15" authorId="0">
      <text>
        <r>
          <rPr>
            <sz val="9"/>
            <color indexed="81"/>
            <rFont val="Tahoma"/>
            <family val="2"/>
          </rPr>
          <t xml:space="preserve">See notes on CFC11
</t>
        </r>
      </text>
    </comment>
    <comment ref="K15" authorId="0">
      <text>
        <r>
          <rPr>
            <sz val="9"/>
            <color indexed="81"/>
            <rFont val="Tahoma"/>
            <family val="2"/>
          </rPr>
          <t xml:space="preserve">See notes on CFC11
</t>
        </r>
      </text>
    </comment>
    <comment ref="D16" authorId="0">
      <text>
        <r>
          <rPr>
            <sz val="9"/>
            <color indexed="81"/>
            <rFont val="Tahoma"/>
            <family val="2"/>
          </rPr>
          <t xml:space="preserve">No GWP vallue was found in literature. The value used represent the average GWP100 for the other CFCs in this list
</t>
        </r>
      </text>
    </comment>
    <comment ref="F16" authorId="0">
      <text>
        <r>
          <rPr>
            <sz val="9"/>
            <color indexed="81"/>
            <rFont val="Tahoma"/>
            <family val="2"/>
          </rPr>
          <t xml:space="preserve">ODP2 Class I Ozone-depleting Substances, USEPA 2014
</t>
        </r>
      </text>
    </comment>
    <comment ref="H16" authorId="0">
      <text>
        <r>
          <rPr>
            <sz val="9"/>
            <color indexed="81"/>
            <rFont val="Tahoma"/>
            <family val="2"/>
          </rPr>
          <t xml:space="preserve">See note on CFC-11
</t>
        </r>
      </text>
    </comment>
    <comment ref="J16" authorId="0">
      <text>
        <r>
          <rPr>
            <sz val="9"/>
            <color indexed="81"/>
            <rFont val="Tahoma"/>
            <family val="2"/>
          </rPr>
          <t xml:space="preserve">See notes on CFC11
</t>
        </r>
      </text>
    </comment>
    <comment ref="K16" authorId="0">
      <text>
        <r>
          <rPr>
            <sz val="9"/>
            <color indexed="81"/>
            <rFont val="Tahoma"/>
            <family val="2"/>
          </rPr>
          <t xml:space="preserve">See notes on CFC11
</t>
        </r>
      </text>
    </comment>
    <comment ref="D17" authorId="0">
      <text>
        <r>
          <rPr>
            <sz val="9"/>
            <color indexed="81"/>
            <rFont val="Tahoma"/>
            <family val="2"/>
          </rPr>
          <t xml:space="preserve">No GWP vallue was found in literature. The value used represent the average GWP100 for the other CFCs in this list
</t>
        </r>
      </text>
    </comment>
    <comment ref="F17" authorId="0">
      <text>
        <r>
          <rPr>
            <sz val="9"/>
            <color indexed="81"/>
            <rFont val="Tahoma"/>
            <family val="2"/>
          </rPr>
          <t xml:space="preserve">ODP2 Class I Ozone-depleting Substances, USEPA 2014
</t>
        </r>
      </text>
    </comment>
    <comment ref="H17" authorId="0">
      <text>
        <r>
          <rPr>
            <sz val="9"/>
            <color indexed="81"/>
            <rFont val="Tahoma"/>
            <family val="2"/>
          </rPr>
          <t xml:space="preserve">See note on CFC-11
</t>
        </r>
      </text>
    </comment>
    <comment ref="J17" authorId="0">
      <text>
        <r>
          <rPr>
            <sz val="9"/>
            <color indexed="81"/>
            <rFont val="Tahoma"/>
            <family val="2"/>
          </rPr>
          <t xml:space="preserve">See notes on CFC11
</t>
        </r>
      </text>
    </comment>
    <comment ref="K17" authorId="0">
      <text>
        <r>
          <rPr>
            <sz val="9"/>
            <color indexed="81"/>
            <rFont val="Tahoma"/>
            <family val="2"/>
          </rPr>
          <t xml:space="preserve">See notes on CFC11
</t>
        </r>
      </text>
    </comment>
    <comment ref="D18" authorId="0">
      <text>
        <r>
          <rPr>
            <sz val="9"/>
            <color indexed="81"/>
            <rFont val="Tahoma"/>
            <family val="2"/>
          </rPr>
          <t xml:space="preserve">No GWP vallue was found in literature. The value used represent the average GWP100 for the other CFCs in this list
</t>
        </r>
      </text>
    </comment>
    <comment ref="F18" authorId="0">
      <text>
        <r>
          <rPr>
            <sz val="9"/>
            <color indexed="81"/>
            <rFont val="Tahoma"/>
            <family val="2"/>
          </rPr>
          <t xml:space="preserve">ODP2 Class I Ozone-depleting Substances, USEPA 2014
</t>
        </r>
      </text>
    </comment>
    <comment ref="H18" authorId="0">
      <text>
        <r>
          <rPr>
            <sz val="9"/>
            <color indexed="81"/>
            <rFont val="Tahoma"/>
            <family val="2"/>
          </rPr>
          <t xml:space="preserve">See note on CFC-11
</t>
        </r>
      </text>
    </comment>
    <comment ref="J18" authorId="0">
      <text>
        <r>
          <rPr>
            <sz val="9"/>
            <color indexed="81"/>
            <rFont val="Tahoma"/>
            <family val="2"/>
          </rPr>
          <t xml:space="preserve">See notes on CFC11
</t>
        </r>
      </text>
    </comment>
    <comment ref="K18" authorId="0">
      <text>
        <r>
          <rPr>
            <sz val="9"/>
            <color indexed="81"/>
            <rFont val="Tahoma"/>
            <family val="2"/>
          </rPr>
          <t xml:space="preserve">See notes on CFC11
</t>
        </r>
      </text>
    </comment>
    <comment ref="A20" authorId="0">
      <text>
        <r>
          <rPr>
            <sz val="9"/>
            <color indexed="81"/>
            <rFont val="Tahoma"/>
            <family val="2"/>
          </rPr>
          <t xml:space="preserve">= CHFCl2 
</t>
        </r>
      </text>
    </comment>
    <comment ref="D20" authorId="0">
      <text>
        <r>
          <rPr>
            <sz val="8"/>
            <color indexed="81"/>
            <rFont val="Tahoma"/>
            <family val="2"/>
          </rPr>
          <t xml:space="preserve">GWP100 including feedback mechanisms (IPCC AR5 WGI Table 8SM16)
</t>
        </r>
      </text>
    </comment>
    <comment ref="F20" authorId="0">
      <text>
        <r>
          <rPr>
            <sz val="9"/>
            <color indexed="81"/>
            <rFont val="Tahoma"/>
            <family val="2"/>
          </rPr>
          <t>The Montreal Protocol on Substances that Deplete the Ozone Layer. UNEP, 2000. ISBN 92-807-1888-6</t>
        </r>
      </text>
    </comment>
    <comment ref="H20" authorId="0">
      <text>
        <r>
          <rPr>
            <sz val="9"/>
            <color indexed="81"/>
            <rFont val="Tahoma"/>
            <family val="2"/>
          </rPr>
          <t xml:space="preserve">See note on CFC-11
</t>
        </r>
      </text>
    </comment>
    <comment ref="J20" authorId="0">
      <text>
        <r>
          <rPr>
            <sz val="9"/>
            <color indexed="81"/>
            <rFont val="Tahoma"/>
            <family val="2"/>
          </rPr>
          <t xml:space="preserve">See notes on CFC11
</t>
        </r>
      </text>
    </comment>
    <comment ref="K20" authorId="0">
      <text>
        <r>
          <rPr>
            <sz val="9"/>
            <color indexed="81"/>
            <rFont val="Tahoma"/>
            <family val="2"/>
          </rPr>
          <t xml:space="preserve">See notes on CFC11
</t>
        </r>
      </text>
    </comment>
    <comment ref="A21" authorId="0">
      <text>
        <r>
          <rPr>
            <sz val="9"/>
            <color indexed="81"/>
            <rFont val="Tahoma"/>
            <family val="2"/>
          </rPr>
          <t xml:space="preserve">=Chlorodifluoromethane or R22
</t>
        </r>
      </text>
    </comment>
    <comment ref="D21" authorId="0">
      <text>
        <r>
          <rPr>
            <sz val="8"/>
            <color indexed="81"/>
            <rFont val="Tahoma"/>
            <family val="2"/>
          </rPr>
          <t xml:space="preserve">GWP100 including feedback mechanisms (IPCC AR5 WGI Table 8SM16)
</t>
        </r>
      </text>
    </comment>
    <comment ref="F21" authorId="0">
      <text>
        <r>
          <rPr>
            <sz val="9"/>
            <color indexed="81"/>
            <rFont val="Tahoma"/>
            <family val="2"/>
          </rPr>
          <t xml:space="preserve">The Montreal Protocol on Substances that Deplete the Ozone Layer. UNEP, 2000. ISBN 92-807-1888-6
</t>
        </r>
      </text>
    </comment>
    <comment ref="H21" authorId="0">
      <text>
        <r>
          <rPr>
            <sz val="9"/>
            <color indexed="81"/>
            <rFont val="Tahoma"/>
            <family val="2"/>
          </rPr>
          <t xml:space="preserve">See note on CFC-11
</t>
        </r>
      </text>
    </comment>
    <comment ref="J21" authorId="0">
      <text>
        <r>
          <rPr>
            <sz val="9"/>
            <color indexed="81"/>
            <rFont val="Tahoma"/>
            <family val="2"/>
          </rPr>
          <t xml:space="preserve">See notes on CFC11
</t>
        </r>
      </text>
    </comment>
    <comment ref="K21" authorId="0">
      <text>
        <r>
          <rPr>
            <sz val="9"/>
            <color indexed="81"/>
            <rFont val="Tahoma"/>
            <family val="2"/>
          </rPr>
          <t xml:space="preserve">See notes on CFC11
</t>
        </r>
      </text>
    </comment>
    <comment ref="A22" authorId="0">
      <text>
        <r>
          <rPr>
            <sz val="9"/>
            <color indexed="81"/>
            <rFont val="Tahoma"/>
            <family val="2"/>
          </rPr>
          <t xml:space="preserve">CH2FCl
</t>
        </r>
      </text>
    </comment>
    <comment ref="D22" authorId="0">
      <text>
        <r>
          <rPr>
            <sz val="9"/>
            <color indexed="81"/>
            <rFont val="Tahoma"/>
            <family val="2"/>
          </rPr>
          <t>No GWP vallue was found in literature. The value used represent the average GWP100 for the other HCFCs in this list</t>
        </r>
      </text>
    </comment>
    <comment ref="H22" authorId="0">
      <text>
        <r>
          <rPr>
            <sz val="9"/>
            <color indexed="81"/>
            <rFont val="Tahoma"/>
            <family val="2"/>
          </rPr>
          <t xml:space="preserve">See note on CFC-11
</t>
        </r>
      </text>
    </comment>
    <comment ref="J22" authorId="0">
      <text>
        <r>
          <rPr>
            <sz val="9"/>
            <color indexed="81"/>
            <rFont val="Tahoma"/>
            <family val="2"/>
          </rPr>
          <t xml:space="preserve">See notes on CFC11
</t>
        </r>
      </text>
    </comment>
    <comment ref="K22" authorId="0">
      <text>
        <r>
          <rPr>
            <sz val="9"/>
            <color indexed="81"/>
            <rFont val="Tahoma"/>
            <family val="2"/>
          </rPr>
          <t xml:space="preserve">See notes on CFC11
</t>
        </r>
      </text>
    </comment>
    <comment ref="A23" authorId="0">
      <text>
        <r>
          <rPr>
            <sz val="9"/>
            <color indexed="81"/>
            <rFont val="Tahoma"/>
            <family val="2"/>
          </rPr>
          <t xml:space="preserve">= C2HFCl4
</t>
        </r>
      </text>
    </comment>
    <comment ref="D23" authorId="0">
      <text>
        <r>
          <rPr>
            <sz val="9"/>
            <color indexed="81"/>
            <rFont val="Tahoma"/>
            <family val="2"/>
          </rPr>
          <t>No GWP vallue was found in literature. The value used represent the average GWP100 for the other HCFCs in this list</t>
        </r>
      </text>
    </comment>
    <comment ref="F23" authorId="0">
      <text>
        <r>
          <rPr>
            <sz val="9"/>
            <color indexed="81"/>
            <rFont val="Tahoma"/>
            <family val="2"/>
          </rPr>
          <t xml:space="preserve">The Montreal Protocol on Substances that Deplete the Ozone Layer. UNEP, 2000. ISBN 92-807-1888-6
</t>
        </r>
      </text>
    </comment>
    <comment ref="G23" authorId="0">
      <text>
        <r>
          <rPr>
            <sz val="9"/>
            <color indexed="81"/>
            <rFont val="Tahoma"/>
            <family val="2"/>
          </rPr>
          <t xml:space="preserve">Estimated from the interval given in the montreal protocol 0.01–0.04
</t>
        </r>
      </text>
    </comment>
    <comment ref="H23" authorId="0">
      <text>
        <r>
          <rPr>
            <sz val="9"/>
            <color indexed="81"/>
            <rFont val="Tahoma"/>
            <family val="2"/>
          </rPr>
          <t xml:space="preserve">See note on CFC-11
</t>
        </r>
      </text>
    </comment>
    <comment ref="J23" authorId="0">
      <text>
        <r>
          <rPr>
            <sz val="9"/>
            <color indexed="81"/>
            <rFont val="Tahoma"/>
            <family val="2"/>
          </rPr>
          <t xml:space="preserve">See notes on CFC11
</t>
        </r>
      </text>
    </comment>
    <comment ref="K23" authorId="0">
      <text>
        <r>
          <rPr>
            <sz val="9"/>
            <color indexed="81"/>
            <rFont val="Tahoma"/>
            <family val="2"/>
          </rPr>
          <t xml:space="preserve">See notes on CFC11
</t>
        </r>
      </text>
    </comment>
    <comment ref="A24" authorId="0">
      <text>
        <r>
          <rPr>
            <sz val="9"/>
            <color indexed="81"/>
            <rFont val="Tahoma"/>
            <family val="2"/>
          </rPr>
          <t xml:space="preserve">C2HF2Cl3
1,2,2-trichloro-1,1-difluoroethane </t>
        </r>
      </text>
    </comment>
    <comment ref="D24" authorId="0">
      <text>
        <r>
          <rPr>
            <sz val="8"/>
            <color indexed="81"/>
            <rFont val="Tahoma"/>
            <family val="2"/>
          </rPr>
          <t xml:space="preserve">GWP100 including feedback mechanisms (IPCC AR5 WGI Table 8SM16)
</t>
        </r>
      </text>
    </comment>
    <comment ref="F24" authorId="0">
      <text>
        <r>
          <rPr>
            <sz val="9"/>
            <color indexed="81"/>
            <rFont val="Tahoma"/>
            <family val="2"/>
          </rPr>
          <t xml:space="preserve">The Montreal Protocol on Substances that Deplete the Ozone Layer. UNEP, 2000. ISBN 92-807-1888-6
</t>
        </r>
      </text>
    </comment>
    <comment ref="G24" authorId="0">
      <text>
        <r>
          <rPr>
            <sz val="9"/>
            <color indexed="81"/>
            <rFont val="Tahoma"/>
            <family val="2"/>
          </rPr>
          <t>Estimated from the interval given in the montreal protocol
0.02-0.08</t>
        </r>
      </text>
    </comment>
    <comment ref="H24" authorId="0">
      <text>
        <r>
          <rPr>
            <sz val="9"/>
            <color indexed="81"/>
            <rFont val="Tahoma"/>
            <family val="2"/>
          </rPr>
          <t xml:space="preserve">See note on CFC-11
</t>
        </r>
      </text>
    </comment>
    <comment ref="J24" authorId="0">
      <text>
        <r>
          <rPr>
            <sz val="9"/>
            <color indexed="81"/>
            <rFont val="Tahoma"/>
            <family val="2"/>
          </rPr>
          <t xml:space="preserve">See notes on CFC11
</t>
        </r>
      </text>
    </comment>
    <comment ref="K24" authorId="0">
      <text>
        <r>
          <rPr>
            <sz val="9"/>
            <color indexed="81"/>
            <rFont val="Tahoma"/>
            <family val="2"/>
          </rPr>
          <t xml:space="preserve">See notes on CFC11
</t>
        </r>
      </text>
    </comment>
    <comment ref="A25" authorId="0">
      <text>
        <r>
          <rPr>
            <sz val="9"/>
            <color indexed="81"/>
            <rFont val="Tahoma"/>
            <family val="2"/>
          </rPr>
          <t xml:space="preserve">= 1,2-difluoro-1,1,2-trichloroethane
</t>
        </r>
      </text>
    </comment>
    <comment ref="D25" authorId="0">
      <text>
        <r>
          <rPr>
            <sz val="8"/>
            <color indexed="81"/>
            <rFont val="Tahoma"/>
            <family val="2"/>
          </rPr>
          <t xml:space="preserve">GWP100 including feedback mechanisms (IPCC AR5 WGI Table 8SM16)
</t>
        </r>
      </text>
    </comment>
    <comment ref="F25" authorId="0">
      <text>
        <r>
          <rPr>
            <sz val="9"/>
            <color indexed="81"/>
            <rFont val="Tahoma"/>
            <family val="2"/>
          </rPr>
          <t xml:space="preserve">Isomer to HCFC-122, and assumed to have the same value, but given a larger uncertainty, as it is not explicitly presented in the Montreal protocol
</t>
        </r>
      </text>
    </comment>
    <comment ref="H25" authorId="0">
      <text>
        <r>
          <rPr>
            <sz val="9"/>
            <color indexed="81"/>
            <rFont val="Tahoma"/>
            <family val="2"/>
          </rPr>
          <t xml:space="preserve">See note on CFC-11
</t>
        </r>
      </text>
    </comment>
    <comment ref="J25" authorId="0">
      <text>
        <r>
          <rPr>
            <sz val="9"/>
            <color indexed="81"/>
            <rFont val="Tahoma"/>
            <family val="2"/>
          </rPr>
          <t xml:space="preserve">See notes on CFC11
</t>
        </r>
      </text>
    </comment>
    <comment ref="K25" authorId="0">
      <text>
        <r>
          <rPr>
            <sz val="9"/>
            <color indexed="81"/>
            <rFont val="Tahoma"/>
            <family val="2"/>
          </rPr>
          <t xml:space="preserve">See notes on CFC11
</t>
        </r>
      </text>
    </comment>
    <comment ref="A26" authorId="0">
      <text>
        <r>
          <rPr>
            <sz val="9"/>
            <color indexed="81"/>
            <rFont val="Tahoma"/>
            <family val="2"/>
          </rPr>
          <t xml:space="preserve">= 2,2-Dichloro-1,1,1-trifluoroethane
</t>
        </r>
      </text>
    </comment>
    <comment ref="D26" authorId="0">
      <text>
        <r>
          <rPr>
            <sz val="8"/>
            <color indexed="81"/>
            <rFont val="Tahoma"/>
            <family val="2"/>
          </rPr>
          <t xml:space="preserve">GWP100 including feedback mechanisms (IPCC AR5 WGI Table 8SM16)
</t>
        </r>
      </text>
    </comment>
    <comment ref="F26" authorId="0">
      <text>
        <r>
          <rPr>
            <sz val="9"/>
            <color indexed="81"/>
            <rFont val="Tahoma"/>
            <family val="2"/>
          </rPr>
          <t xml:space="preserve">The Montreal Protocol on Substances that Deplete the Ozone Layer. UNEP, 2000. ISBN 92-807-1888-6
</t>
        </r>
      </text>
    </comment>
    <comment ref="G26" authorId="0">
      <text>
        <r>
          <rPr>
            <sz val="9"/>
            <color indexed="81"/>
            <rFont val="Tahoma"/>
            <family val="2"/>
          </rPr>
          <t xml:space="preserve">Estimated from the interval given in the montreal protocol 0.02–0.06
</t>
        </r>
      </text>
    </comment>
    <comment ref="H26" authorId="0">
      <text>
        <r>
          <rPr>
            <sz val="9"/>
            <color indexed="81"/>
            <rFont val="Tahoma"/>
            <family val="2"/>
          </rPr>
          <t xml:space="preserve">See note on CFC-11
</t>
        </r>
      </text>
    </comment>
    <comment ref="J26" authorId="0">
      <text>
        <r>
          <rPr>
            <sz val="9"/>
            <color indexed="81"/>
            <rFont val="Tahoma"/>
            <family val="2"/>
          </rPr>
          <t xml:space="preserve">See notes on CFC11
</t>
        </r>
      </text>
    </comment>
    <comment ref="K26" authorId="0">
      <text>
        <r>
          <rPr>
            <sz val="9"/>
            <color indexed="81"/>
            <rFont val="Tahoma"/>
            <family val="2"/>
          </rPr>
          <t xml:space="preserve">See notes on CFC11
</t>
        </r>
      </text>
    </comment>
    <comment ref="A27" authorId="0">
      <text>
        <r>
          <rPr>
            <sz val="9"/>
            <color indexed="81"/>
            <rFont val="Tahoma"/>
            <family val="2"/>
          </rPr>
          <t>Isomer to HCFC-123
 1,2-dichloro-1,1,2-trifluoroethane</t>
        </r>
      </text>
    </comment>
    <comment ref="D27" authorId="0">
      <text>
        <r>
          <rPr>
            <sz val="8"/>
            <color indexed="81"/>
            <rFont val="Tahoma"/>
            <family val="2"/>
          </rPr>
          <t xml:space="preserve">GWP100 including feedback mechanisms (IPCC AR5 WGI Table 8SM16)
</t>
        </r>
      </text>
    </comment>
    <comment ref="F27" authorId="0">
      <text>
        <r>
          <rPr>
            <sz val="9"/>
            <color indexed="81"/>
            <rFont val="Tahoma"/>
            <family val="2"/>
          </rPr>
          <t xml:space="preserve">The Montreal Protocol on Substances that Deplete the Ozone Layer. UNEP, 2000. ISBN 92-807-1888-6
</t>
        </r>
      </text>
    </comment>
    <comment ref="H27" authorId="0">
      <text>
        <r>
          <rPr>
            <sz val="9"/>
            <color indexed="81"/>
            <rFont val="Tahoma"/>
            <family val="2"/>
          </rPr>
          <t xml:space="preserve">See note on CFC-11
</t>
        </r>
      </text>
    </comment>
    <comment ref="J27" authorId="0">
      <text>
        <r>
          <rPr>
            <sz val="9"/>
            <color indexed="81"/>
            <rFont val="Tahoma"/>
            <family val="2"/>
          </rPr>
          <t xml:space="preserve">See notes on CFC11
</t>
        </r>
      </text>
    </comment>
    <comment ref="K27" authorId="0">
      <text>
        <r>
          <rPr>
            <sz val="9"/>
            <color indexed="81"/>
            <rFont val="Tahoma"/>
            <family val="2"/>
          </rPr>
          <t xml:space="preserve">See notes on CFC11
</t>
        </r>
      </text>
    </comment>
    <comment ref="D28" authorId="0">
      <text>
        <r>
          <rPr>
            <sz val="8"/>
            <color indexed="81"/>
            <rFont val="Tahoma"/>
            <family val="2"/>
          </rPr>
          <t xml:space="preserve">GWP100 including feedback mechanisms (IPCC AR5 WGI Table 8SM16)
</t>
        </r>
      </text>
    </comment>
    <comment ref="F28" authorId="0">
      <text>
        <r>
          <rPr>
            <sz val="9"/>
            <color indexed="81"/>
            <rFont val="Tahoma"/>
            <family val="2"/>
          </rPr>
          <t xml:space="preserve">The Montreal Protocol on Substances that Deplete the Ozone Layer. UNEP, 2000. ISBN 92-807-1888-6
</t>
        </r>
      </text>
    </comment>
    <comment ref="G28" authorId="0">
      <text>
        <r>
          <rPr>
            <sz val="9"/>
            <color indexed="81"/>
            <rFont val="Tahoma"/>
            <family val="2"/>
          </rPr>
          <t xml:space="preserve">Estimated from the interval given in the montreal protocol 0.02–0.04
</t>
        </r>
      </text>
    </comment>
    <comment ref="H28" authorId="0">
      <text>
        <r>
          <rPr>
            <sz val="9"/>
            <color indexed="81"/>
            <rFont val="Tahoma"/>
            <family val="2"/>
          </rPr>
          <t xml:space="preserve">See note on CFC-11
</t>
        </r>
      </text>
    </comment>
    <comment ref="J28" authorId="0">
      <text>
        <r>
          <rPr>
            <sz val="9"/>
            <color indexed="81"/>
            <rFont val="Tahoma"/>
            <family val="2"/>
          </rPr>
          <t xml:space="preserve">See notes on CFC11
</t>
        </r>
      </text>
    </comment>
    <comment ref="K28" authorId="0">
      <text>
        <r>
          <rPr>
            <sz val="9"/>
            <color indexed="81"/>
            <rFont val="Tahoma"/>
            <family val="2"/>
          </rPr>
          <t xml:space="preserve">See notes on CFC11
</t>
        </r>
      </text>
    </comment>
    <comment ref="A29" authorId="0">
      <text>
        <r>
          <rPr>
            <sz val="9"/>
            <color indexed="81"/>
            <rFont val="Tahoma"/>
            <family val="2"/>
          </rPr>
          <t xml:space="preserve">=  (C2H2FCl3) Trichlorofluoroethane
</t>
        </r>
      </text>
    </comment>
    <comment ref="D29" authorId="0">
      <text>
        <r>
          <rPr>
            <sz val="9"/>
            <color indexed="81"/>
            <rFont val="Tahoma"/>
            <family val="2"/>
          </rPr>
          <t>No GWP vallue was found in literature. The value used represent the average GWP100 for the other HCFCs in this list</t>
        </r>
      </text>
    </comment>
    <comment ref="F29" authorId="0">
      <text>
        <r>
          <rPr>
            <sz val="9"/>
            <color indexed="81"/>
            <rFont val="Tahoma"/>
            <family val="2"/>
          </rPr>
          <t xml:space="preserve">The Montreal Protocol on Substances that Deplete the Ozone Layer. UNEP, 2000. ISBN 92-807-1888-6
</t>
        </r>
      </text>
    </comment>
    <comment ref="G29" authorId="0">
      <text>
        <r>
          <rPr>
            <sz val="9"/>
            <color indexed="81"/>
            <rFont val="Tahoma"/>
            <family val="2"/>
          </rPr>
          <t xml:space="preserve">Estimated from the interval given in the montreal protocol 0.007–0.05
</t>
        </r>
      </text>
    </comment>
    <comment ref="H29" authorId="0">
      <text>
        <r>
          <rPr>
            <sz val="9"/>
            <color indexed="81"/>
            <rFont val="Tahoma"/>
            <family val="2"/>
          </rPr>
          <t xml:space="preserve">See note on CFC-11
</t>
        </r>
      </text>
    </comment>
    <comment ref="J29" authorId="0">
      <text>
        <r>
          <rPr>
            <sz val="9"/>
            <color indexed="81"/>
            <rFont val="Tahoma"/>
            <family val="2"/>
          </rPr>
          <t xml:space="preserve">See notes on CFC11
</t>
        </r>
      </text>
    </comment>
    <comment ref="K29" authorId="0">
      <text>
        <r>
          <rPr>
            <sz val="9"/>
            <color indexed="81"/>
            <rFont val="Tahoma"/>
            <family val="2"/>
          </rPr>
          <t xml:space="preserve">See notes on CFC11
</t>
        </r>
      </text>
    </comment>
    <comment ref="A30" authorId="0">
      <text>
        <r>
          <rPr>
            <sz val="9"/>
            <color indexed="81"/>
            <rFont val="Tahoma"/>
            <family val="2"/>
          </rPr>
          <t xml:space="preserve">HCFC 132 =1,2-DICHLORO-1,2-DIFLUOROETHANE
HCFC 132c = 1,1-DICHLORO-1,2-DIFLUOROETHANE
</t>
        </r>
      </text>
    </comment>
    <comment ref="D30" authorId="0">
      <text>
        <r>
          <rPr>
            <sz val="8"/>
            <color indexed="81"/>
            <rFont val="Tahoma"/>
            <family val="2"/>
          </rPr>
          <t xml:space="preserve">GWP100 including feedback mechanisms (IPCC AR5 WGI Table 8SM16)
</t>
        </r>
      </text>
    </comment>
    <comment ref="F30" authorId="0">
      <text>
        <r>
          <rPr>
            <sz val="9"/>
            <color indexed="81"/>
            <rFont val="Tahoma"/>
            <family val="2"/>
          </rPr>
          <t xml:space="preserve">The Montreal Protocol on Substances that Deplete the Ozone Layer. UNEP, 2000. ISBN 92-807-1888-6
</t>
        </r>
      </text>
    </comment>
    <comment ref="G30" authorId="0">
      <text>
        <r>
          <rPr>
            <sz val="9"/>
            <color indexed="81"/>
            <rFont val="Tahoma"/>
            <family val="2"/>
          </rPr>
          <t xml:space="preserve">Estimated from the interval given in the montreal protocol  0.008–0.05
</t>
        </r>
      </text>
    </comment>
    <comment ref="H30" authorId="0">
      <text>
        <r>
          <rPr>
            <sz val="9"/>
            <color indexed="81"/>
            <rFont val="Tahoma"/>
            <family val="2"/>
          </rPr>
          <t xml:space="preserve">See note on CFC-11
</t>
        </r>
      </text>
    </comment>
    <comment ref="J30" authorId="0">
      <text>
        <r>
          <rPr>
            <sz val="9"/>
            <color indexed="81"/>
            <rFont val="Tahoma"/>
            <family val="2"/>
          </rPr>
          <t xml:space="preserve">See notes on CFC11
</t>
        </r>
      </text>
    </comment>
    <comment ref="K30" authorId="0">
      <text>
        <r>
          <rPr>
            <sz val="9"/>
            <color indexed="81"/>
            <rFont val="Tahoma"/>
            <family val="2"/>
          </rPr>
          <t xml:space="preserve">See notes on CFC11
</t>
        </r>
      </text>
    </comment>
    <comment ref="D31" authorId="0">
      <text>
        <r>
          <rPr>
            <sz val="9"/>
            <color indexed="81"/>
            <rFont val="Tahoma"/>
            <family val="2"/>
          </rPr>
          <t>No GWP vallue was found in literature. The value used represent the average GWP100 for the other HCFCs in this list</t>
        </r>
      </text>
    </comment>
    <comment ref="F31" authorId="0">
      <text>
        <r>
          <rPr>
            <sz val="9"/>
            <color indexed="81"/>
            <rFont val="Tahoma"/>
            <family val="2"/>
          </rPr>
          <t xml:space="preserve">The Montreal Protocol on Substances that Deplete the Ozone Layer. UNEP, 2000. ISBN 92-807-1888-6
</t>
        </r>
      </text>
    </comment>
    <comment ref="G31" authorId="0">
      <text>
        <r>
          <rPr>
            <sz val="9"/>
            <color indexed="81"/>
            <rFont val="Tahoma"/>
            <family val="2"/>
          </rPr>
          <t xml:space="preserve">Estimated from the interval given in the montreal protocol   0.02–0.06
</t>
        </r>
      </text>
    </comment>
    <comment ref="H31" authorId="0">
      <text>
        <r>
          <rPr>
            <sz val="9"/>
            <color indexed="81"/>
            <rFont val="Tahoma"/>
            <family val="2"/>
          </rPr>
          <t xml:space="preserve">See note on CFC-11
</t>
        </r>
      </text>
    </comment>
    <comment ref="J31" authorId="0">
      <text>
        <r>
          <rPr>
            <sz val="9"/>
            <color indexed="81"/>
            <rFont val="Tahoma"/>
            <family val="2"/>
          </rPr>
          <t xml:space="preserve">See notes on CFC11
</t>
        </r>
      </text>
    </comment>
    <comment ref="K31" authorId="0">
      <text>
        <r>
          <rPr>
            <sz val="9"/>
            <color indexed="81"/>
            <rFont val="Tahoma"/>
            <family val="2"/>
          </rPr>
          <t xml:space="preserve">See notes on CFC11
</t>
        </r>
      </text>
    </comment>
    <comment ref="D32" authorId="0">
      <text>
        <r>
          <rPr>
            <sz val="9"/>
            <color indexed="81"/>
            <rFont val="Tahoma"/>
            <family val="2"/>
          </rPr>
          <t>No GWP vallue was found in literature. The value used represent the average GWP100 for the other HCFCs in this list</t>
        </r>
      </text>
    </comment>
    <comment ref="F32" authorId="0">
      <text>
        <r>
          <rPr>
            <sz val="9"/>
            <color indexed="81"/>
            <rFont val="Tahoma"/>
            <family val="2"/>
          </rPr>
          <t xml:space="preserve">The Montreal Protocol on Substances that Deplete the Ozone Layer. UNEP, 2000. ISBN 92-807-1888-6
</t>
        </r>
      </text>
    </comment>
    <comment ref="G32" authorId="0">
      <text>
        <r>
          <rPr>
            <sz val="9"/>
            <color indexed="81"/>
            <rFont val="Tahoma"/>
            <family val="2"/>
          </rPr>
          <t xml:space="preserve">Estimated from the interval given in the montreal protocol  0.005–0.07
</t>
        </r>
      </text>
    </comment>
    <comment ref="H32" authorId="0">
      <text>
        <r>
          <rPr>
            <sz val="9"/>
            <color indexed="81"/>
            <rFont val="Tahoma"/>
            <family val="2"/>
          </rPr>
          <t xml:space="preserve">See note on CFC-11
</t>
        </r>
      </text>
    </comment>
    <comment ref="J32" authorId="0">
      <text>
        <r>
          <rPr>
            <sz val="9"/>
            <color indexed="81"/>
            <rFont val="Tahoma"/>
            <family val="2"/>
          </rPr>
          <t xml:space="preserve">See notes on CFC11
</t>
        </r>
      </text>
    </comment>
    <comment ref="K32" authorId="0">
      <text>
        <r>
          <rPr>
            <sz val="9"/>
            <color indexed="81"/>
            <rFont val="Tahoma"/>
            <family val="2"/>
          </rPr>
          <t xml:space="preserve">See notes on CFC11
</t>
        </r>
      </text>
    </comment>
    <comment ref="D33" authorId="0">
      <text>
        <r>
          <rPr>
            <sz val="8"/>
            <color indexed="81"/>
            <rFont val="Tahoma"/>
            <family val="2"/>
          </rPr>
          <t xml:space="preserve">GWP100 including feedback mechanisms (IPCC AR5 WGI Table 8SM16)
</t>
        </r>
      </text>
    </comment>
    <comment ref="F33" authorId="0">
      <text>
        <r>
          <rPr>
            <sz val="9"/>
            <color indexed="81"/>
            <rFont val="Tahoma"/>
            <family val="2"/>
          </rPr>
          <t xml:space="preserve">The Montreal Protocol on Substances that Deplete the Ozone Layer. UNEP, 2000. ISBN 92-807-1888-6
</t>
        </r>
      </text>
    </comment>
    <comment ref="H33" authorId="0">
      <text>
        <r>
          <rPr>
            <sz val="9"/>
            <color indexed="81"/>
            <rFont val="Tahoma"/>
            <family val="2"/>
          </rPr>
          <t xml:space="preserve">See note on CFC-11
</t>
        </r>
      </text>
    </comment>
    <comment ref="J33" authorId="0">
      <text>
        <r>
          <rPr>
            <sz val="9"/>
            <color indexed="81"/>
            <rFont val="Tahoma"/>
            <family val="2"/>
          </rPr>
          <t xml:space="preserve">See notes on CFC11
</t>
        </r>
      </text>
    </comment>
    <comment ref="K33" authorId="0">
      <text>
        <r>
          <rPr>
            <sz val="9"/>
            <color indexed="81"/>
            <rFont val="Tahoma"/>
            <family val="2"/>
          </rPr>
          <t xml:space="preserve">See notes on CFC11
</t>
        </r>
      </text>
    </comment>
    <comment ref="D34" authorId="0">
      <text>
        <r>
          <rPr>
            <sz val="9"/>
            <color indexed="81"/>
            <rFont val="Tahoma"/>
            <family val="2"/>
          </rPr>
          <t>No GWP vallue was found in literature. The value used represent the average GWP100 for the other HCFCs in this list</t>
        </r>
      </text>
    </comment>
    <comment ref="F34" authorId="0">
      <text>
        <r>
          <rPr>
            <sz val="9"/>
            <color indexed="81"/>
            <rFont val="Tahoma"/>
            <family val="2"/>
          </rPr>
          <t xml:space="preserve">The Montreal Protocol on Substances that Deplete the Ozone Layer. UNEP, 2000. ISBN 92-807-1888-6
</t>
        </r>
      </text>
    </comment>
    <comment ref="G34" authorId="0">
      <text>
        <r>
          <rPr>
            <sz val="9"/>
            <color indexed="81"/>
            <rFont val="Tahoma"/>
            <family val="2"/>
          </rPr>
          <t xml:space="preserve">0.008–0.07
</t>
        </r>
      </text>
    </comment>
    <comment ref="H34" authorId="0">
      <text>
        <r>
          <rPr>
            <sz val="9"/>
            <color indexed="81"/>
            <rFont val="Tahoma"/>
            <family val="2"/>
          </rPr>
          <t xml:space="preserve">See note on CFC-11
</t>
        </r>
      </text>
    </comment>
    <comment ref="J34" authorId="0">
      <text>
        <r>
          <rPr>
            <sz val="9"/>
            <color indexed="81"/>
            <rFont val="Tahoma"/>
            <family val="2"/>
          </rPr>
          <t xml:space="preserve">See notes on CFC11
</t>
        </r>
      </text>
    </comment>
    <comment ref="K34" authorId="0">
      <text>
        <r>
          <rPr>
            <sz val="9"/>
            <color indexed="81"/>
            <rFont val="Tahoma"/>
            <family val="2"/>
          </rPr>
          <t xml:space="preserve">See notes on CFC11
</t>
        </r>
      </text>
    </comment>
    <comment ref="D35" authorId="0">
      <text>
        <r>
          <rPr>
            <sz val="8"/>
            <color indexed="81"/>
            <rFont val="Tahoma"/>
            <family val="2"/>
          </rPr>
          <t xml:space="preserve">GWP100 including feedback mechanisms (IPCC AR5 WGI Table 8SM16)
</t>
        </r>
      </text>
    </comment>
    <comment ref="F35" authorId="0">
      <text>
        <r>
          <rPr>
            <sz val="9"/>
            <color indexed="81"/>
            <rFont val="Tahoma"/>
            <family val="2"/>
          </rPr>
          <t xml:space="preserve">The Montreal Protocol on Substances that Deplete the Ozone Layer. UNEP, 2000. ISBN 92-807-1888-6
</t>
        </r>
      </text>
    </comment>
    <comment ref="H35" authorId="0">
      <text>
        <r>
          <rPr>
            <sz val="9"/>
            <color indexed="81"/>
            <rFont val="Tahoma"/>
            <family val="2"/>
          </rPr>
          <t xml:space="preserve">See note on CFC-11
</t>
        </r>
      </text>
    </comment>
    <comment ref="J35" authorId="0">
      <text>
        <r>
          <rPr>
            <sz val="9"/>
            <color indexed="81"/>
            <rFont val="Tahoma"/>
            <family val="2"/>
          </rPr>
          <t xml:space="preserve">See notes on CFC11
</t>
        </r>
      </text>
    </comment>
    <comment ref="K35" authorId="0">
      <text>
        <r>
          <rPr>
            <sz val="9"/>
            <color indexed="81"/>
            <rFont val="Tahoma"/>
            <family val="2"/>
          </rPr>
          <t xml:space="preserve">See notes on CFC11
</t>
        </r>
      </text>
    </comment>
    <comment ref="D36" authorId="0">
      <text>
        <r>
          <rPr>
            <sz val="9"/>
            <color indexed="81"/>
            <rFont val="Tahoma"/>
            <family val="2"/>
          </rPr>
          <t>No GWP vallue was found in literature. The value used represent the average GWP100 for the other HCFCs in this list</t>
        </r>
      </text>
    </comment>
    <comment ref="F36" authorId="0">
      <text>
        <r>
          <rPr>
            <sz val="9"/>
            <color indexed="81"/>
            <rFont val="Tahoma"/>
            <family val="2"/>
          </rPr>
          <t xml:space="preserve">The Montreal Protocol on Substances that Deplete the Ozone Layer. UNEP, 2000. ISBN 92-807-1888-6
</t>
        </r>
      </text>
    </comment>
    <comment ref="G36" authorId="0">
      <text>
        <r>
          <rPr>
            <sz val="9"/>
            <color indexed="81"/>
            <rFont val="Tahoma"/>
            <family val="2"/>
          </rPr>
          <t xml:space="preserve">0.003–0.005
</t>
        </r>
      </text>
    </comment>
    <comment ref="H36" authorId="0">
      <text>
        <r>
          <rPr>
            <sz val="9"/>
            <color indexed="81"/>
            <rFont val="Tahoma"/>
            <family val="2"/>
          </rPr>
          <t xml:space="preserve">See note on CFC-11
</t>
        </r>
      </text>
    </comment>
    <comment ref="J36" authorId="0">
      <text>
        <r>
          <rPr>
            <sz val="9"/>
            <color indexed="81"/>
            <rFont val="Tahoma"/>
            <family val="2"/>
          </rPr>
          <t xml:space="preserve">See notes on CFC11
</t>
        </r>
      </text>
    </comment>
    <comment ref="K36" authorId="0">
      <text>
        <r>
          <rPr>
            <sz val="9"/>
            <color indexed="81"/>
            <rFont val="Tahoma"/>
            <family val="2"/>
          </rPr>
          <t xml:space="preserve">See notes on CFC11
</t>
        </r>
      </text>
    </comment>
    <comment ref="D37" authorId="0">
      <text>
        <r>
          <rPr>
            <sz val="9"/>
            <color indexed="81"/>
            <rFont val="Tahoma"/>
            <family val="2"/>
          </rPr>
          <t>No GWP vallue was found in literature. The value used represent the average GWP100 for the other HCFCs in this list</t>
        </r>
      </text>
    </comment>
    <comment ref="G37" authorId="0">
      <text>
        <r>
          <rPr>
            <sz val="9"/>
            <color indexed="81"/>
            <rFont val="Tahoma"/>
            <family val="2"/>
          </rPr>
          <t xml:space="preserve">0.015–0.07
</t>
        </r>
      </text>
    </comment>
    <comment ref="H37" authorId="0">
      <text>
        <r>
          <rPr>
            <sz val="9"/>
            <color indexed="81"/>
            <rFont val="Tahoma"/>
            <family val="2"/>
          </rPr>
          <t xml:space="preserve">See note on CFC-11
</t>
        </r>
      </text>
    </comment>
    <comment ref="J37" authorId="0">
      <text>
        <r>
          <rPr>
            <sz val="9"/>
            <color indexed="81"/>
            <rFont val="Tahoma"/>
            <family val="2"/>
          </rPr>
          <t xml:space="preserve">See notes on CFC11
</t>
        </r>
      </text>
    </comment>
    <comment ref="K37" authorId="0">
      <text>
        <r>
          <rPr>
            <sz val="9"/>
            <color indexed="81"/>
            <rFont val="Tahoma"/>
            <family val="2"/>
          </rPr>
          <t xml:space="preserve">See notes on CFC11
</t>
        </r>
      </text>
    </comment>
    <comment ref="D38" authorId="0">
      <text>
        <r>
          <rPr>
            <sz val="9"/>
            <color indexed="81"/>
            <rFont val="Tahoma"/>
            <family val="2"/>
          </rPr>
          <t>No GWP vallue was found in literature. The value used represent the average GWP100 for the other HCFCs in this list</t>
        </r>
      </text>
    </comment>
    <comment ref="G38" authorId="0">
      <text>
        <r>
          <rPr>
            <sz val="9"/>
            <color indexed="81"/>
            <rFont val="Tahoma"/>
            <family val="2"/>
          </rPr>
          <t xml:space="preserve">0.01–0.09
</t>
        </r>
      </text>
    </comment>
    <comment ref="H38" authorId="0">
      <text>
        <r>
          <rPr>
            <sz val="9"/>
            <color indexed="81"/>
            <rFont val="Tahoma"/>
            <family val="2"/>
          </rPr>
          <t xml:space="preserve">See note on CFC-11
</t>
        </r>
      </text>
    </comment>
    <comment ref="J38" authorId="0">
      <text>
        <r>
          <rPr>
            <sz val="9"/>
            <color indexed="81"/>
            <rFont val="Tahoma"/>
            <family val="2"/>
          </rPr>
          <t xml:space="preserve">See notes on CFC11
</t>
        </r>
      </text>
    </comment>
    <comment ref="K38" authorId="0">
      <text>
        <r>
          <rPr>
            <sz val="9"/>
            <color indexed="81"/>
            <rFont val="Tahoma"/>
            <family val="2"/>
          </rPr>
          <t xml:space="preserve">See notes on CFC11
</t>
        </r>
      </text>
    </comment>
    <comment ref="D39" authorId="0">
      <text>
        <r>
          <rPr>
            <sz val="9"/>
            <color indexed="81"/>
            <rFont val="Tahoma"/>
            <family val="2"/>
          </rPr>
          <t>No GWP vallue was found in literature. The value used represent the average GWP100 for the other HCFCs in this list</t>
        </r>
      </text>
    </comment>
    <comment ref="G39" authorId="0">
      <text>
        <r>
          <rPr>
            <sz val="9"/>
            <color indexed="81"/>
            <rFont val="Tahoma"/>
            <family val="2"/>
          </rPr>
          <t xml:space="preserve">0.01–0.08
</t>
        </r>
      </text>
    </comment>
    <comment ref="H39" authorId="0">
      <text>
        <r>
          <rPr>
            <sz val="9"/>
            <color indexed="81"/>
            <rFont val="Tahoma"/>
            <family val="2"/>
          </rPr>
          <t xml:space="preserve">See note on CFC-11
</t>
        </r>
      </text>
    </comment>
    <comment ref="J39" authorId="0">
      <text>
        <r>
          <rPr>
            <sz val="9"/>
            <color indexed="81"/>
            <rFont val="Tahoma"/>
            <family val="2"/>
          </rPr>
          <t xml:space="preserve">See notes on CFC11
</t>
        </r>
      </text>
    </comment>
    <comment ref="K39" authorId="0">
      <text>
        <r>
          <rPr>
            <sz val="9"/>
            <color indexed="81"/>
            <rFont val="Tahoma"/>
            <family val="2"/>
          </rPr>
          <t xml:space="preserve">See notes on CFC11
</t>
        </r>
      </text>
    </comment>
    <comment ref="D40" authorId="0">
      <text>
        <r>
          <rPr>
            <sz val="9"/>
            <color indexed="81"/>
            <rFont val="Tahoma"/>
            <family val="2"/>
          </rPr>
          <t>No GWP vallue was found in literature. The value used represent the average GWP100 for the other HCFCs in this list</t>
        </r>
      </text>
    </comment>
    <comment ref="G40" authorId="0">
      <text>
        <r>
          <rPr>
            <sz val="9"/>
            <color indexed="81"/>
            <rFont val="Tahoma"/>
            <family val="2"/>
          </rPr>
          <t xml:space="preserve">0.01–0.09
</t>
        </r>
      </text>
    </comment>
    <comment ref="H40" authorId="0">
      <text>
        <r>
          <rPr>
            <sz val="9"/>
            <color indexed="81"/>
            <rFont val="Tahoma"/>
            <family val="2"/>
          </rPr>
          <t xml:space="preserve">See note on CFC-11
</t>
        </r>
      </text>
    </comment>
    <comment ref="J40" authorId="0">
      <text>
        <r>
          <rPr>
            <sz val="9"/>
            <color indexed="81"/>
            <rFont val="Tahoma"/>
            <family val="2"/>
          </rPr>
          <t xml:space="preserve">See notes on CFC11
</t>
        </r>
      </text>
    </comment>
    <comment ref="K40" authorId="0">
      <text>
        <r>
          <rPr>
            <sz val="9"/>
            <color indexed="81"/>
            <rFont val="Tahoma"/>
            <family val="2"/>
          </rPr>
          <t xml:space="preserve">See notes on CFC11
</t>
        </r>
      </text>
    </comment>
    <comment ref="D41" authorId="0">
      <text>
        <r>
          <rPr>
            <sz val="9"/>
            <color indexed="81"/>
            <rFont val="Tahoma"/>
            <family val="2"/>
          </rPr>
          <t>No GWP vallue was found in literature. The value used represent the average GWP100 for the other HCFCs in this list</t>
        </r>
      </text>
    </comment>
    <comment ref="G41" authorId="0">
      <text>
        <r>
          <rPr>
            <sz val="9"/>
            <color indexed="81"/>
            <rFont val="Tahoma"/>
            <family val="2"/>
          </rPr>
          <t xml:space="preserve">0.02–0.07
</t>
        </r>
      </text>
    </comment>
    <comment ref="H41" authorId="0">
      <text>
        <r>
          <rPr>
            <sz val="9"/>
            <color indexed="81"/>
            <rFont val="Tahoma"/>
            <family val="2"/>
          </rPr>
          <t xml:space="preserve">See note on CFC-11
</t>
        </r>
      </text>
    </comment>
    <comment ref="J41" authorId="0">
      <text>
        <r>
          <rPr>
            <sz val="9"/>
            <color indexed="81"/>
            <rFont val="Tahoma"/>
            <family val="2"/>
          </rPr>
          <t xml:space="preserve">See notes on CFC11
</t>
        </r>
      </text>
    </comment>
    <comment ref="K41" authorId="0">
      <text>
        <r>
          <rPr>
            <sz val="9"/>
            <color indexed="81"/>
            <rFont val="Tahoma"/>
            <family val="2"/>
          </rPr>
          <t xml:space="preserve">See notes on CFC11
</t>
        </r>
      </text>
    </comment>
    <comment ref="D42" authorId="0">
      <text>
        <r>
          <rPr>
            <sz val="8"/>
            <color indexed="81"/>
            <rFont val="Tahoma"/>
            <family val="2"/>
          </rPr>
          <t xml:space="preserve">GWP100 including feedback mechanisms (IPCC AR5 WGI Table 8SM16)
</t>
        </r>
      </text>
    </comment>
    <comment ref="H42" authorId="0">
      <text>
        <r>
          <rPr>
            <sz val="9"/>
            <color indexed="81"/>
            <rFont val="Tahoma"/>
            <family val="2"/>
          </rPr>
          <t xml:space="preserve">See note on CFC-11
</t>
        </r>
      </text>
    </comment>
    <comment ref="J42" authorId="0">
      <text>
        <r>
          <rPr>
            <sz val="9"/>
            <color indexed="81"/>
            <rFont val="Tahoma"/>
            <family val="2"/>
          </rPr>
          <t xml:space="preserve">See notes on CFC11
</t>
        </r>
      </text>
    </comment>
    <comment ref="K42" authorId="0">
      <text>
        <r>
          <rPr>
            <sz val="9"/>
            <color indexed="81"/>
            <rFont val="Tahoma"/>
            <family val="2"/>
          </rPr>
          <t xml:space="preserve">See notes on CFC11
</t>
        </r>
      </text>
    </comment>
    <comment ref="D43" authorId="0">
      <text>
        <r>
          <rPr>
            <sz val="8"/>
            <color indexed="81"/>
            <rFont val="Tahoma"/>
            <family val="2"/>
          </rPr>
          <t xml:space="preserve">GWP100 including feedback mechanisms (IPCC AR5 WGI Table 8SM16)
</t>
        </r>
      </text>
    </comment>
    <comment ref="H43" authorId="0">
      <text>
        <r>
          <rPr>
            <sz val="9"/>
            <color indexed="81"/>
            <rFont val="Tahoma"/>
            <family val="2"/>
          </rPr>
          <t xml:space="preserve">See note on CFC-11
</t>
        </r>
      </text>
    </comment>
    <comment ref="J43" authorId="0">
      <text>
        <r>
          <rPr>
            <sz val="9"/>
            <color indexed="81"/>
            <rFont val="Tahoma"/>
            <family val="2"/>
          </rPr>
          <t xml:space="preserve">See notes on CFC11
</t>
        </r>
      </text>
    </comment>
    <comment ref="K43" authorId="0">
      <text>
        <r>
          <rPr>
            <sz val="9"/>
            <color indexed="81"/>
            <rFont val="Tahoma"/>
            <family val="2"/>
          </rPr>
          <t xml:space="preserve">See notes on CFC11
</t>
        </r>
      </text>
    </comment>
    <comment ref="D44" authorId="0">
      <text>
        <r>
          <rPr>
            <sz val="9"/>
            <color indexed="81"/>
            <rFont val="Tahoma"/>
            <family val="2"/>
          </rPr>
          <t>No GWP vallue was found in literature. The value used represent the average GWP100 for the other HCFCs in this list</t>
        </r>
      </text>
    </comment>
    <comment ref="G44" authorId="0">
      <text>
        <r>
          <rPr>
            <sz val="9"/>
            <color indexed="81"/>
            <rFont val="Tahoma"/>
            <family val="2"/>
          </rPr>
          <t xml:space="preserve">0.02–0.10
</t>
        </r>
      </text>
    </comment>
    <comment ref="H44" authorId="0">
      <text>
        <r>
          <rPr>
            <sz val="9"/>
            <color indexed="81"/>
            <rFont val="Tahoma"/>
            <family val="2"/>
          </rPr>
          <t xml:space="preserve">See note on CFC-11
</t>
        </r>
      </text>
    </comment>
    <comment ref="J44" authorId="0">
      <text>
        <r>
          <rPr>
            <sz val="9"/>
            <color indexed="81"/>
            <rFont val="Tahoma"/>
            <family val="2"/>
          </rPr>
          <t xml:space="preserve">See notes on CFC11
</t>
        </r>
      </text>
    </comment>
    <comment ref="K44" authorId="0">
      <text>
        <r>
          <rPr>
            <sz val="9"/>
            <color indexed="81"/>
            <rFont val="Tahoma"/>
            <family val="2"/>
          </rPr>
          <t xml:space="preserve">See notes on CFC11
</t>
        </r>
      </text>
    </comment>
    <comment ref="D45" authorId="0">
      <text>
        <r>
          <rPr>
            <sz val="9"/>
            <color indexed="81"/>
            <rFont val="Tahoma"/>
            <family val="2"/>
          </rPr>
          <t>No GWP vallue was found in literature. The value used represent the average GWP100 for the other HCFCs in this list</t>
        </r>
      </text>
    </comment>
    <comment ref="G45" authorId="0">
      <text>
        <r>
          <rPr>
            <sz val="9"/>
            <color indexed="81"/>
            <rFont val="Tahoma"/>
            <family val="2"/>
          </rPr>
          <t xml:space="preserve">0.05–0.09
</t>
        </r>
      </text>
    </comment>
    <comment ref="H45" authorId="0">
      <text>
        <r>
          <rPr>
            <sz val="9"/>
            <color indexed="81"/>
            <rFont val="Tahoma"/>
            <family val="2"/>
          </rPr>
          <t xml:space="preserve">See note on CFC-11
</t>
        </r>
      </text>
    </comment>
    <comment ref="J45" authorId="0">
      <text>
        <r>
          <rPr>
            <sz val="9"/>
            <color indexed="81"/>
            <rFont val="Tahoma"/>
            <family val="2"/>
          </rPr>
          <t xml:space="preserve">See notes on CFC11
</t>
        </r>
      </text>
    </comment>
    <comment ref="K45" authorId="0">
      <text>
        <r>
          <rPr>
            <sz val="9"/>
            <color indexed="81"/>
            <rFont val="Tahoma"/>
            <family val="2"/>
          </rPr>
          <t xml:space="preserve">See notes on CFC11
</t>
        </r>
      </text>
    </comment>
    <comment ref="D46" authorId="0">
      <text>
        <r>
          <rPr>
            <sz val="9"/>
            <color indexed="81"/>
            <rFont val="Tahoma"/>
            <family val="2"/>
          </rPr>
          <t>No GWP vallue was found in literature. The value used represent the average GWP100 for the other HCFCs in this list</t>
        </r>
      </text>
    </comment>
    <comment ref="G46" authorId="0">
      <text>
        <r>
          <rPr>
            <sz val="9"/>
            <color indexed="81"/>
            <rFont val="Tahoma"/>
            <family val="2"/>
          </rPr>
          <t xml:space="preserve">0.008–0.10
</t>
        </r>
      </text>
    </comment>
    <comment ref="H46" authorId="0">
      <text>
        <r>
          <rPr>
            <sz val="9"/>
            <color indexed="81"/>
            <rFont val="Tahoma"/>
            <family val="2"/>
          </rPr>
          <t xml:space="preserve">See note on CFC-11
</t>
        </r>
      </text>
    </comment>
    <comment ref="J46" authorId="0">
      <text>
        <r>
          <rPr>
            <sz val="9"/>
            <color indexed="81"/>
            <rFont val="Tahoma"/>
            <family val="2"/>
          </rPr>
          <t xml:space="preserve">See notes on CFC11
</t>
        </r>
      </text>
    </comment>
    <comment ref="K46" authorId="0">
      <text>
        <r>
          <rPr>
            <sz val="9"/>
            <color indexed="81"/>
            <rFont val="Tahoma"/>
            <family val="2"/>
          </rPr>
          <t xml:space="preserve">See notes on CFC11
</t>
        </r>
      </text>
    </comment>
    <comment ref="D47" authorId="0">
      <text>
        <r>
          <rPr>
            <sz val="9"/>
            <color indexed="81"/>
            <rFont val="Tahoma"/>
            <family val="2"/>
          </rPr>
          <t>No GWP vallue was found in literature. The value used represent the average GWP100 for the other HCFCs in this list</t>
        </r>
      </text>
    </comment>
    <comment ref="G47" authorId="0">
      <text>
        <r>
          <rPr>
            <sz val="9"/>
            <color indexed="81"/>
            <rFont val="Tahoma"/>
            <family val="2"/>
          </rPr>
          <t xml:space="preserve">0.007–0.23
</t>
        </r>
      </text>
    </comment>
    <comment ref="H47" authorId="0">
      <text>
        <r>
          <rPr>
            <sz val="9"/>
            <color indexed="81"/>
            <rFont val="Tahoma"/>
            <family val="2"/>
          </rPr>
          <t xml:space="preserve">See note on CFC-11
</t>
        </r>
      </text>
    </comment>
    <comment ref="J47" authorId="0">
      <text>
        <r>
          <rPr>
            <sz val="9"/>
            <color indexed="81"/>
            <rFont val="Tahoma"/>
            <family val="2"/>
          </rPr>
          <t xml:space="preserve">See notes on CFC11
</t>
        </r>
      </text>
    </comment>
    <comment ref="K47" authorId="0">
      <text>
        <r>
          <rPr>
            <sz val="9"/>
            <color indexed="81"/>
            <rFont val="Tahoma"/>
            <family val="2"/>
          </rPr>
          <t xml:space="preserve">See notes on CFC11
</t>
        </r>
      </text>
    </comment>
    <comment ref="D48" authorId="0">
      <text>
        <r>
          <rPr>
            <sz val="9"/>
            <color indexed="81"/>
            <rFont val="Tahoma"/>
            <family val="2"/>
          </rPr>
          <t>No GWP vallue was found in literature. The value used represent the average GWP100 for the other HCFCs in this list</t>
        </r>
      </text>
    </comment>
    <comment ref="G48" authorId="0">
      <text>
        <r>
          <rPr>
            <sz val="9"/>
            <color indexed="81"/>
            <rFont val="Tahoma"/>
            <family val="2"/>
          </rPr>
          <t xml:space="preserve">0.01–0.28
</t>
        </r>
      </text>
    </comment>
    <comment ref="H48" authorId="0">
      <text>
        <r>
          <rPr>
            <sz val="9"/>
            <color indexed="81"/>
            <rFont val="Tahoma"/>
            <family val="2"/>
          </rPr>
          <t xml:space="preserve">See note on CFC-11
</t>
        </r>
      </text>
    </comment>
    <comment ref="J48" authorId="0">
      <text>
        <r>
          <rPr>
            <sz val="9"/>
            <color indexed="81"/>
            <rFont val="Tahoma"/>
            <family val="2"/>
          </rPr>
          <t xml:space="preserve">See notes on CFC11
</t>
        </r>
      </text>
    </comment>
    <comment ref="K48" authorId="0">
      <text>
        <r>
          <rPr>
            <sz val="9"/>
            <color indexed="81"/>
            <rFont val="Tahoma"/>
            <family val="2"/>
          </rPr>
          <t xml:space="preserve">See notes on CFC11
</t>
        </r>
      </text>
    </comment>
    <comment ref="D49" authorId="0">
      <text>
        <r>
          <rPr>
            <sz val="9"/>
            <color indexed="81"/>
            <rFont val="Tahoma"/>
            <family val="2"/>
          </rPr>
          <t>No GWP vallue was found in literature. The value used represent the average GWP100 for the other HCFCs in this list</t>
        </r>
      </text>
    </comment>
    <comment ref="G49" authorId="0">
      <text>
        <r>
          <rPr>
            <sz val="9"/>
            <color indexed="81"/>
            <rFont val="Tahoma"/>
            <family val="2"/>
          </rPr>
          <t xml:space="preserve">0.03–0.52
</t>
        </r>
      </text>
    </comment>
    <comment ref="H49" authorId="0">
      <text>
        <r>
          <rPr>
            <sz val="9"/>
            <color indexed="81"/>
            <rFont val="Tahoma"/>
            <family val="2"/>
          </rPr>
          <t xml:space="preserve">See note on CFC-11
</t>
        </r>
      </text>
    </comment>
    <comment ref="J49" authorId="0">
      <text>
        <r>
          <rPr>
            <sz val="9"/>
            <color indexed="81"/>
            <rFont val="Tahoma"/>
            <family val="2"/>
          </rPr>
          <t xml:space="preserve">See notes on CFC11
</t>
        </r>
      </text>
    </comment>
    <comment ref="K49" authorId="0">
      <text>
        <r>
          <rPr>
            <sz val="9"/>
            <color indexed="81"/>
            <rFont val="Tahoma"/>
            <family val="2"/>
          </rPr>
          <t xml:space="preserve">See notes on CFC11
</t>
        </r>
      </text>
    </comment>
    <comment ref="D50" authorId="0">
      <text>
        <r>
          <rPr>
            <sz val="9"/>
            <color indexed="81"/>
            <rFont val="Tahoma"/>
            <family val="2"/>
          </rPr>
          <t>No GWP vallue was found in literature. The value used represent the average GWP100 for the other HCFCs in this list</t>
        </r>
      </text>
    </comment>
    <comment ref="G50" authorId="0">
      <text>
        <r>
          <rPr>
            <sz val="9"/>
            <color indexed="81"/>
            <rFont val="Tahoma"/>
            <family val="2"/>
          </rPr>
          <t xml:space="preserve">0.004–0.09
</t>
        </r>
      </text>
    </comment>
    <comment ref="H50" authorId="0">
      <text>
        <r>
          <rPr>
            <sz val="9"/>
            <color indexed="81"/>
            <rFont val="Tahoma"/>
            <family val="2"/>
          </rPr>
          <t xml:space="preserve">See note on CFC-11
</t>
        </r>
      </text>
    </comment>
    <comment ref="J50" authorId="0">
      <text>
        <r>
          <rPr>
            <sz val="9"/>
            <color indexed="81"/>
            <rFont val="Tahoma"/>
            <family val="2"/>
          </rPr>
          <t xml:space="preserve">See notes on CFC11
</t>
        </r>
      </text>
    </comment>
    <comment ref="K50" authorId="0">
      <text>
        <r>
          <rPr>
            <sz val="9"/>
            <color indexed="81"/>
            <rFont val="Tahoma"/>
            <family val="2"/>
          </rPr>
          <t xml:space="preserve">See notes on CFC11
</t>
        </r>
      </text>
    </comment>
    <comment ref="D51" authorId="0">
      <text>
        <r>
          <rPr>
            <sz val="9"/>
            <color indexed="81"/>
            <rFont val="Tahoma"/>
            <family val="2"/>
          </rPr>
          <t>No GWP vallue was found in literature. The value used represent the average GWP100 for the other HCFCs in this list</t>
        </r>
      </text>
    </comment>
    <comment ref="G51" authorId="0">
      <text>
        <r>
          <rPr>
            <sz val="9"/>
            <color indexed="81"/>
            <rFont val="Tahoma"/>
            <family val="2"/>
          </rPr>
          <t xml:space="preserve">0.005–0.13
</t>
        </r>
      </text>
    </comment>
    <comment ref="H51" authorId="0">
      <text>
        <r>
          <rPr>
            <sz val="9"/>
            <color indexed="81"/>
            <rFont val="Tahoma"/>
            <family val="2"/>
          </rPr>
          <t xml:space="preserve">See note on CFC-11
</t>
        </r>
      </text>
    </comment>
    <comment ref="J51" authorId="0">
      <text>
        <r>
          <rPr>
            <sz val="9"/>
            <color indexed="81"/>
            <rFont val="Tahoma"/>
            <family val="2"/>
          </rPr>
          <t xml:space="preserve">See notes on CFC11
</t>
        </r>
      </text>
    </comment>
    <comment ref="K51" authorId="0">
      <text>
        <r>
          <rPr>
            <sz val="9"/>
            <color indexed="81"/>
            <rFont val="Tahoma"/>
            <family val="2"/>
          </rPr>
          <t xml:space="preserve">See notes on CFC11
</t>
        </r>
      </text>
    </comment>
    <comment ref="D52" authorId="0">
      <text>
        <r>
          <rPr>
            <sz val="9"/>
            <color indexed="81"/>
            <rFont val="Tahoma"/>
            <family val="2"/>
          </rPr>
          <t>No GWP vallue was found in literature. The value used represent the average GWP100 for the other HCFCs in this list</t>
        </r>
      </text>
    </comment>
    <comment ref="G52" authorId="0">
      <text>
        <r>
          <rPr>
            <sz val="9"/>
            <color indexed="81"/>
            <rFont val="Tahoma"/>
            <family val="2"/>
          </rPr>
          <t xml:space="preserve">0.007–0.12
</t>
        </r>
      </text>
    </comment>
    <comment ref="H52" authorId="0">
      <text>
        <r>
          <rPr>
            <sz val="9"/>
            <color indexed="81"/>
            <rFont val="Tahoma"/>
            <family val="2"/>
          </rPr>
          <t xml:space="preserve">See note on CFC-11
</t>
        </r>
      </text>
    </comment>
    <comment ref="J52" authorId="0">
      <text>
        <r>
          <rPr>
            <sz val="9"/>
            <color indexed="81"/>
            <rFont val="Tahoma"/>
            <family val="2"/>
          </rPr>
          <t xml:space="preserve">See notes on CFC11
</t>
        </r>
      </text>
    </comment>
    <comment ref="K52" authorId="0">
      <text>
        <r>
          <rPr>
            <sz val="9"/>
            <color indexed="81"/>
            <rFont val="Tahoma"/>
            <family val="2"/>
          </rPr>
          <t xml:space="preserve">See notes on CFC11
</t>
        </r>
      </text>
    </comment>
    <comment ref="D53" authorId="0">
      <text>
        <r>
          <rPr>
            <sz val="9"/>
            <color indexed="81"/>
            <rFont val="Tahoma"/>
            <family val="2"/>
          </rPr>
          <t>No GWP vallue was found in literature. The value used represent the average GWP100 for the other HCFCs in this list</t>
        </r>
      </text>
    </comment>
    <comment ref="G53" authorId="0">
      <text>
        <r>
          <rPr>
            <sz val="9"/>
            <color indexed="81"/>
            <rFont val="Tahoma"/>
            <family val="2"/>
          </rPr>
          <t xml:space="preserve">0.009–0.14
</t>
        </r>
      </text>
    </comment>
    <comment ref="H53" authorId="0">
      <text>
        <r>
          <rPr>
            <sz val="9"/>
            <color indexed="81"/>
            <rFont val="Tahoma"/>
            <family val="2"/>
          </rPr>
          <t xml:space="preserve">See note on CFC-11
</t>
        </r>
      </text>
    </comment>
    <comment ref="J53" authorId="0">
      <text>
        <r>
          <rPr>
            <sz val="9"/>
            <color indexed="81"/>
            <rFont val="Tahoma"/>
            <family val="2"/>
          </rPr>
          <t xml:space="preserve">See notes on CFC11
</t>
        </r>
      </text>
    </comment>
    <comment ref="K53" authorId="0">
      <text>
        <r>
          <rPr>
            <sz val="9"/>
            <color indexed="81"/>
            <rFont val="Tahoma"/>
            <family val="2"/>
          </rPr>
          <t xml:space="preserve">See notes on CFC11
</t>
        </r>
      </text>
    </comment>
    <comment ref="D54" authorId="0">
      <text>
        <r>
          <rPr>
            <sz val="9"/>
            <color indexed="81"/>
            <rFont val="Tahoma"/>
            <family val="2"/>
          </rPr>
          <t>No GWP vallue was found in literature. The value used represent the average GWP100 for the other HCFCs in this list</t>
        </r>
      </text>
    </comment>
    <comment ref="G54" authorId="0">
      <text>
        <r>
          <rPr>
            <sz val="9"/>
            <color indexed="81"/>
            <rFont val="Tahoma"/>
            <family val="2"/>
          </rPr>
          <t xml:space="preserve">0.001–0.01
</t>
        </r>
      </text>
    </comment>
    <comment ref="H54" authorId="0">
      <text>
        <r>
          <rPr>
            <sz val="9"/>
            <color indexed="81"/>
            <rFont val="Tahoma"/>
            <family val="2"/>
          </rPr>
          <t xml:space="preserve">See note on CFC-11
</t>
        </r>
      </text>
    </comment>
    <comment ref="J54" authorId="0">
      <text>
        <r>
          <rPr>
            <sz val="9"/>
            <color indexed="81"/>
            <rFont val="Tahoma"/>
            <family val="2"/>
          </rPr>
          <t xml:space="preserve">See notes on CFC11
</t>
        </r>
      </text>
    </comment>
    <comment ref="K54" authorId="0">
      <text>
        <r>
          <rPr>
            <sz val="9"/>
            <color indexed="81"/>
            <rFont val="Tahoma"/>
            <family val="2"/>
          </rPr>
          <t xml:space="preserve">See notes on CFC11
</t>
        </r>
      </text>
    </comment>
    <comment ref="D55" authorId="0">
      <text>
        <r>
          <rPr>
            <sz val="9"/>
            <color indexed="81"/>
            <rFont val="Tahoma"/>
            <family val="2"/>
          </rPr>
          <t>No GWP vallue was found in literature. The value used represent the average GWP100 for the other HCFCs in this list</t>
        </r>
      </text>
    </comment>
    <comment ref="G55" authorId="0">
      <text>
        <r>
          <rPr>
            <sz val="9"/>
            <color indexed="81"/>
            <rFont val="Tahoma"/>
            <family val="2"/>
          </rPr>
          <t>0.005–0.04</t>
        </r>
      </text>
    </comment>
    <comment ref="H55" authorId="0">
      <text>
        <r>
          <rPr>
            <sz val="9"/>
            <color indexed="81"/>
            <rFont val="Tahoma"/>
            <family val="2"/>
          </rPr>
          <t xml:space="preserve">See note on CFC-11
</t>
        </r>
      </text>
    </comment>
    <comment ref="J55" authorId="0">
      <text>
        <r>
          <rPr>
            <sz val="9"/>
            <color indexed="81"/>
            <rFont val="Tahoma"/>
            <family val="2"/>
          </rPr>
          <t xml:space="preserve">See notes on CFC11
</t>
        </r>
      </text>
    </comment>
    <comment ref="K55" authorId="0">
      <text>
        <r>
          <rPr>
            <sz val="9"/>
            <color indexed="81"/>
            <rFont val="Tahoma"/>
            <family val="2"/>
          </rPr>
          <t xml:space="preserve">See notes on CFC11
</t>
        </r>
      </text>
    </comment>
    <comment ref="D56" authorId="0">
      <text>
        <r>
          <rPr>
            <sz val="9"/>
            <color indexed="81"/>
            <rFont val="Tahoma"/>
            <family val="2"/>
          </rPr>
          <t>No GWP vallue was found in literature. The value used represent the average GWP100 for the other HCFCs in this list</t>
        </r>
      </text>
    </comment>
    <comment ref="G56" authorId="0">
      <text>
        <r>
          <rPr>
            <sz val="9"/>
            <color indexed="81"/>
            <rFont val="Tahoma"/>
            <family val="2"/>
          </rPr>
          <t xml:space="preserve">0.003–0.03
</t>
        </r>
      </text>
    </comment>
    <comment ref="H56" authorId="0">
      <text>
        <r>
          <rPr>
            <sz val="9"/>
            <color indexed="81"/>
            <rFont val="Tahoma"/>
            <family val="2"/>
          </rPr>
          <t xml:space="preserve">See note on CFC-11
</t>
        </r>
      </text>
    </comment>
    <comment ref="J56" authorId="0">
      <text>
        <r>
          <rPr>
            <sz val="9"/>
            <color indexed="81"/>
            <rFont val="Tahoma"/>
            <family val="2"/>
          </rPr>
          <t xml:space="preserve">See notes on CFC11
</t>
        </r>
      </text>
    </comment>
    <comment ref="K56" authorId="0">
      <text>
        <r>
          <rPr>
            <sz val="9"/>
            <color indexed="81"/>
            <rFont val="Tahoma"/>
            <family val="2"/>
          </rPr>
          <t xml:space="preserve">See notes on CFC11
</t>
        </r>
      </text>
    </comment>
    <comment ref="D57" authorId="0">
      <text>
        <r>
          <rPr>
            <sz val="9"/>
            <color indexed="81"/>
            <rFont val="Tahoma"/>
            <family val="2"/>
          </rPr>
          <t>No GWP vallue was found in literature. The value used represent the average GWP100 for the other HCFCs in this list</t>
        </r>
      </text>
    </comment>
    <comment ref="G57" authorId="0">
      <text>
        <r>
          <rPr>
            <sz val="9"/>
            <color indexed="81"/>
            <rFont val="Tahoma"/>
            <family val="2"/>
          </rPr>
          <t xml:space="preserve">0.002–0.02
</t>
        </r>
      </text>
    </comment>
    <comment ref="H57" authorId="0">
      <text>
        <r>
          <rPr>
            <sz val="9"/>
            <color indexed="81"/>
            <rFont val="Tahoma"/>
            <family val="2"/>
          </rPr>
          <t xml:space="preserve">See note on CFC-11
</t>
        </r>
      </text>
    </comment>
    <comment ref="J57" authorId="0">
      <text>
        <r>
          <rPr>
            <sz val="9"/>
            <color indexed="81"/>
            <rFont val="Tahoma"/>
            <family val="2"/>
          </rPr>
          <t xml:space="preserve">See notes on CFC11
</t>
        </r>
      </text>
    </comment>
    <comment ref="K57" authorId="0">
      <text>
        <r>
          <rPr>
            <sz val="9"/>
            <color indexed="81"/>
            <rFont val="Tahoma"/>
            <family val="2"/>
          </rPr>
          <t xml:space="preserve">See notes on CFC11
</t>
        </r>
      </text>
    </comment>
    <comment ref="D58" authorId="0">
      <text>
        <r>
          <rPr>
            <sz val="9"/>
            <color indexed="81"/>
            <rFont val="Tahoma"/>
            <family val="2"/>
          </rPr>
          <t>No GWP vallue was found in literature. The value used represent the average GWP100 for the other HCFCs in this list</t>
        </r>
      </text>
    </comment>
    <comment ref="G58" authorId="0">
      <text>
        <r>
          <rPr>
            <sz val="9"/>
            <color indexed="81"/>
            <rFont val="Tahoma"/>
            <family val="2"/>
          </rPr>
          <t xml:space="preserve">0.002–0.02
</t>
        </r>
      </text>
    </comment>
    <comment ref="H58" authorId="0">
      <text>
        <r>
          <rPr>
            <sz val="9"/>
            <color indexed="81"/>
            <rFont val="Tahoma"/>
            <family val="2"/>
          </rPr>
          <t xml:space="preserve">See note on CFC-11
</t>
        </r>
      </text>
    </comment>
    <comment ref="J58" authorId="0">
      <text>
        <r>
          <rPr>
            <sz val="9"/>
            <color indexed="81"/>
            <rFont val="Tahoma"/>
            <family val="2"/>
          </rPr>
          <t xml:space="preserve">See notes on CFC11
</t>
        </r>
      </text>
    </comment>
    <comment ref="K58" authorId="0">
      <text>
        <r>
          <rPr>
            <sz val="9"/>
            <color indexed="81"/>
            <rFont val="Tahoma"/>
            <family val="2"/>
          </rPr>
          <t xml:space="preserve">See notes on CFC11
</t>
        </r>
      </text>
    </comment>
    <comment ref="D59" authorId="0">
      <text>
        <r>
          <rPr>
            <sz val="9"/>
            <color indexed="81"/>
            <rFont val="Tahoma"/>
            <family val="2"/>
          </rPr>
          <t>No GWP vallue was found in literature. The value used represent the average GWP100 for the other HCFCs in this list</t>
        </r>
      </text>
    </comment>
    <comment ref="G59" authorId="0">
      <text>
        <r>
          <rPr>
            <sz val="9"/>
            <color indexed="81"/>
            <rFont val="Tahoma"/>
            <family val="2"/>
          </rPr>
          <t xml:space="preserve">0.001–0.03
</t>
        </r>
      </text>
    </comment>
    <comment ref="H59" authorId="0">
      <text>
        <r>
          <rPr>
            <sz val="9"/>
            <color indexed="81"/>
            <rFont val="Tahoma"/>
            <family val="2"/>
          </rPr>
          <t xml:space="preserve">See note on CFC-11
</t>
        </r>
      </text>
    </comment>
    <comment ref="J59" authorId="0">
      <text>
        <r>
          <rPr>
            <sz val="9"/>
            <color indexed="81"/>
            <rFont val="Tahoma"/>
            <family val="2"/>
          </rPr>
          <t xml:space="preserve">See notes on CFC11
</t>
        </r>
      </text>
    </comment>
    <comment ref="K59" authorId="0">
      <text>
        <r>
          <rPr>
            <sz val="9"/>
            <color indexed="81"/>
            <rFont val="Tahoma"/>
            <family val="2"/>
          </rPr>
          <t xml:space="preserve">See notes on CFC11
</t>
        </r>
      </text>
    </comment>
    <comment ref="A60" authorId="0">
      <text>
        <r>
          <rPr>
            <b/>
            <sz val="9"/>
            <color indexed="81"/>
            <rFont val="Tahoma"/>
            <family val="2"/>
          </rPr>
          <t>Bengt Steen:</t>
        </r>
        <r>
          <rPr>
            <sz val="9"/>
            <color indexed="81"/>
            <rFont val="Tahoma"/>
            <family val="2"/>
          </rPr>
          <t xml:space="preserve">
finns ej med i AR5 WG1 CH8</t>
        </r>
      </text>
    </comment>
    <comment ref="D60" authorId="0">
      <text>
        <r>
          <rPr>
            <sz val="9"/>
            <color indexed="81"/>
            <rFont val="Tahoma"/>
            <family val="2"/>
          </rPr>
          <t xml:space="preserve">IPCC 1994
</t>
        </r>
      </text>
    </comment>
    <comment ref="H60" authorId="0">
      <text>
        <r>
          <rPr>
            <sz val="9"/>
            <color indexed="81"/>
            <rFont val="Tahoma"/>
            <family val="2"/>
          </rPr>
          <t xml:space="preserve">See note on CFC-11
</t>
        </r>
      </text>
    </comment>
    <comment ref="J60" authorId="0">
      <text>
        <r>
          <rPr>
            <sz val="9"/>
            <color indexed="81"/>
            <rFont val="Tahoma"/>
            <family val="2"/>
          </rPr>
          <t xml:space="preserve">See notes on CFC11
</t>
        </r>
      </text>
    </comment>
    <comment ref="K60" authorId="0">
      <text>
        <r>
          <rPr>
            <sz val="9"/>
            <color indexed="81"/>
            <rFont val="Tahoma"/>
            <family val="2"/>
          </rPr>
          <t xml:space="preserve">See notes on CFC11
</t>
        </r>
      </text>
    </comment>
    <comment ref="D61" authorId="0">
      <text>
        <r>
          <rPr>
            <sz val="9"/>
            <color indexed="81"/>
            <rFont val="Tahoma"/>
            <family val="2"/>
          </rPr>
          <t xml:space="preserve">IPCC 1994
</t>
        </r>
      </text>
    </comment>
    <comment ref="H61" authorId="0">
      <text>
        <r>
          <rPr>
            <sz val="9"/>
            <color indexed="81"/>
            <rFont val="Tahoma"/>
            <family val="2"/>
          </rPr>
          <t xml:space="preserve">See note on CFC-11
</t>
        </r>
      </text>
    </comment>
    <comment ref="J61" authorId="0">
      <text>
        <r>
          <rPr>
            <sz val="9"/>
            <color indexed="81"/>
            <rFont val="Tahoma"/>
            <family val="2"/>
          </rPr>
          <t xml:space="preserve">See notes on CFC11
</t>
        </r>
      </text>
    </comment>
    <comment ref="K61" authorId="0">
      <text>
        <r>
          <rPr>
            <sz val="9"/>
            <color indexed="81"/>
            <rFont val="Tahoma"/>
            <family val="2"/>
          </rPr>
          <t xml:space="preserve">See notes on CFC11
</t>
        </r>
      </text>
    </comment>
    <comment ref="D62" authorId="0">
      <text>
        <r>
          <rPr>
            <sz val="9"/>
            <color indexed="81"/>
            <rFont val="Tahoma"/>
            <family val="2"/>
          </rPr>
          <t xml:space="preserve">IPCC 1994
</t>
        </r>
      </text>
    </comment>
    <comment ref="H62" authorId="0">
      <text>
        <r>
          <rPr>
            <sz val="9"/>
            <color indexed="81"/>
            <rFont val="Tahoma"/>
            <family val="2"/>
          </rPr>
          <t xml:space="preserve">See note on CFC-11
</t>
        </r>
      </text>
    </comment>
    <comment ref="J62" authorId="0">
      <text>
        <r>
          <rPr>
            <sz val="9"/>
            <color indexed="81"/>
            <rFont val="Tahoma"/>
            <family val="2"/>
          </rPr>
          <t xml:space="preserve">See notes on CFC11
</t>
        </r>
      </text>
    </comment>
    <comment ref="K62" authorId="0">
      <text>
        <r>
          <rPr>
            <sz val="9"/>
            <color indexed="81"/>
            <rFont val="Tahoma"/>
            <family val="2"/>
          </rPr>
          <t xml:space="preserve">See notes on CFC11
</t>
        </r>
      </text>
    </comment>
    <comment ref="D63" authorId="0">
      <text>
        <r>
          <rPr>
            <sz val="9"/>
            <color indexed="81"/>
            <rFont val="Tahoma"/>
            <family val="2"/>
          </rPr>
          <t xml:space="preserve">IPCC 1994
</t>
        </r>
      </text>
    </comment>
    <comment ref="H63" authorId="0">
      <text>
        <r>
          <rPr>
            <sz val="9"/>
            <color indexed="81"/>
            <rFont val="Tahoma"/>
            <family val="2"/>
          </rPr>
          <t xml:space="preserve">See note on CFC-11
</t>
        </r>
      </text>
    </comment>
    <comment ref="J63" authorId="0">
      <text>
        <r>
          <rPr>
            <sz val="9"/>
            <color indexed="81"/>
            <rFont val="Tahoma"/>
            <family val="2"/>
          </rPr>
          <t xml:space="preserve">See notes on CFC11
</t>
        </r>
      </text>
    </comment>
    <comment ref="K63" authorId="0">
      <text>
        <r>
          <rPr>
            <sz val="9"/>
            <color indexed="81"/>
            <rFont val="Tahoma"/>
            <family val="2"/>
          </rPr>
          <t xml:space="preserve">See notes on CFC11
</t>
        </r>
      </text>
    </comment>
    <comment ref="D64" authorId="0">
      <text>
        <r>
          <rPr>
            <sz val="9"/>
            <color indexed="81"/>
            <rFont val="Tahoma"/>
            <family val="2"/>
          </rPr>
          <t xml:space="preserve">IPCC 1994
</t>
        </r>
      </text>
    </comment>
    <comment ref="H64" authorId="0">
      <text>
        <r>
          <rPr>
            <sz val="9"/>
            <color indexed="81"/>
            <rFont val="Tahoma"/>
            <family val="2"/>
          </rPr>
          <t xml:space="preserve">See note on CFC-11
</t>
        </r>
      </text>
    </comment>
    <comment ref="J64" authorId="0">
      <text>
        <r>
          <rPr>
            <sz val="9"/>
            <color indexed="81"/>
            <rFont val="Tahoma"/>
            <family val="2"/>
          </rPr>
          <t xml:space="preserve">See notes on CFC11
</t>
        </r>
      </text>
    </comment>
    <comment ref="K64" authorId="0">
      <text>
        <r>
          <rPr>
            <sz val="9"/>
            <color indexed="81"/>
            <rFont val="Tahoma"/>
            <family val="2"/>
          </rPr>
          <t xml:space="preserve">See notes on CFC11
</t>
        </r>
      </text>
    </comment>
    <comment ref="D65" authorId="0">
      <text>
        <r>
          <rPr>
            <sz val="9"/>
            <color indexed="81"/>
            <rFont val="Tahoma"/>
            <family val="2"/>
          </rPr>
          <t xml:space="preserve">IPCC 1994
</t>
        </r>
      </text>
    </comment>
    <comment ref="H65" authorId="0">
      <text>
        <r>
          <rPr>
            <sz val="9"/>
            <color indexed="81"/>
            <rFont val="Tahoma"/>
            <family val="2"/>
          </rPr>
          <t xml:space="preserve">See note on CFC-11
</t>
        </r>
      </text>
    </comment>
    <comment ref="J65" authorId="0">
      <text>
        <r>
          <rPr>
            <sz val="9"/>
            <color indexed="81"/>
            <rFont val="Tahoma"/>
            <family val="2"/>
          </rPr>
          <t xml:space="preserve">See notes on CFC11
</t>
        </r>
      </text>
    </comment>
    <comment ref="K65" authorId="0">
      <text>
        <r>
          <rPr>
            <sz val="9"/>
            <color indexed="81"/>
            <rFont val="Tahoma"/>
            <family val="2"/>
          </rPr>
          <t xml:space="preserve">See notes on CFC11
</t>
        </r>
      </text>
    </comment>
    <comment ref="D66" authorId="0">
      <text>
        <r>
          <rPr>
            <sz val="9"/>
            <color indexed="81"/>
            <rFont val="Tahoma"/>
            <family val="2"/>
          </rPr>
          <t>No GWP vallue was found in literature. The value used represent the average GWP100 for the other HCFCs in this list</t>
        </r>
      </text>
    </comment>
    <comment ref="H66" authorId="0">
      <text>
        <r>
          <rPr>
            <sz val="9"/>
            <color indexed="81"/>
            <rFont val="Tahoma"/>
            <family val="2"/>
          </rPr>
          <t xml:space="preserve">See note on CFC-11
</t>
        </r>
      </text>
    </comment>
    <comment ref="J66" authorId="0">
      <text>
        <r>
          <rPr>
            <sz val="9"/>
            <color indexed="81"/>
            <rFont val="Tahoma"/>
            <family val="2"/>
          </rPr>
          <t xml:space="preserve">See notes on CFC11
</t>
        </r>
      </text>
    </comment>
    <comment ref="K66" authorId="0">
      <text>
        <r>
          <rPr>
            <sz val="9"/>
            <color indexed="81"/>
            <rFont val="Tahoma"/>
            <family val="2"/>
          </rPr>
          <t xml:space="preserve">See notes on CFC11
</t>
        </r>
      </text>
    </comment>
    <comment ref="H67" authorId="0">
      <text>
        <r>
          <rPr>
            <sz val="9"/>
            <color indexed="81"/>
            <rFont val="Tahoma"/>
            <family val="2"/>
          </rPr>
          <t xml:space="preserve">See note on CFC-11
</t>
        </r>
      </text>
    </comment>
    <comment ref="J67" authorId="0">
      <text>
        <r>
          <rPr>
            <sz val="9"/>
            <color indexed="81"/>
            <rFont val="Tahoma"/>
            <family val="2"/>
          </rPr>
          <t xml:space="preserve">See notes on CFC11
</t>
        </r>
      </text>
    </comment>
    <comment ref="K67" authorId="0">
      <text>
        <r>
          <rPr>
            <sz val="9"/>
            <color indexed="81"/>
            <rFont val="Tahoma"/>
            <family val="2"/>
          </rPr>
          <t xml:space="preserve">See notes on CFC11
</t>
        </r>
      </text>
    </comment>
    <comment ref="H68" authorId="0">
      <text>
        <r>
          <rPr>
            <sz val="9"/>
            <color indexed="81"/>
            <rFont val="Tahoma"/>
            <family val="2"/>
          </rPr>
          <t xml:space="preserve">See note on CFC-11
</t>
        </r>
      </text>
    </comment>
    <comment ref="J68" authorId="0">
      <text>
        <r>
          <rPr>
            <sz val="9"/>
            <color indexed="81"/>
            <rFont val="Tahoma"/>
            <family val="2"/>
          </rPr>
          <t xml:space="preserve">See notes on CFC11
</t>
        </r>
      </text>
    </comment>
    <comment ref="K68" authorId="0">
      <text>
        <r>
          <rPr>
            <sz val="9"/>
            <color indexed="81"/>
            <rFont val="Tahoma"/>
            <family val="2"/>
          </rPr>
          <t xml:space="preserve">See notes on CFC11
</t>
        </r>
      </text>
    </comment>
    <comment ref="H69" authorId="0">
      <text>
        <r>
          <rPr>
            <sz val="9"/>
            <color indexed="81"/>
            <rFont val="Tahoma"/>
            <family val="2"/>
          </rPr>
          <t xml:space="preserve">See note on CFC-11
</t>
        </r>
      </text>
    </comment>
    <comment ref="J69" authorId="0">
      <text>
        <r>
          <rPr>
            <sz val="9"/>
            <color indexed="81"/>
            <rFont val="Tahoma"/>
            <family val="2"/>
          </rPr>
          <t xml:space="preserve">See notes on CFC11
</t>
        </r>
      </text>
    </comment>
    <comment ref="K69" authorId="0">
      <text>
        <r>
          <rPr>
            <sz val="9"/>
            <color indexed="81"/>
            <rFont val="Tahoma"/>
            <family val="2"/>
          </rPr>
          <t xml:space="preserve">See notes on CFC11
</t>
        </r>
      </text>
    </comment>
    <comment ref="H70" authorId="0">
      <text>
        <r>
          <rPr>
            <sz val="9"/>
            <color indexed="81"/>
            <rFont val="Tahoma"/>
            <family val="2"/>
          </rPr>
          <t xml:space="preserve">See note on CFC-11
</t>
        </r>
      </text>
    </comment>
    <comment ref="J70" authorId="0">
      <text>
        <r>
          <rPr>
            <sz val="9"/>
            <color indexed="81"/>
            <rFont val="Tahoma"/>
            <family val="2"/>
          </rPr>
          <t xml:space="preserve">See notes on CFC11
</t>
        </r>
      </text>
    </comment>
    <comment ref="K70" authorId="0">
      <text>
        <r>
          <rPr>
            <sz val="9"/>
            <color indexed="81"/>
            <rFont val="Tahoma"/>
            <family val="2"/>
          </rPr>
          <t xml:space="preserve">See notes on CFC11
</t>
        </r>
      </text>
    </comment>
    <comment ref="D71" authorId="0">
      <text>
        <r>
          <rPr>
            <sz val="9"/>
            <color indexed="81"/>
            <rFont val="Tahoma"/>
            <family val="2"/>
          </rPr>
          <t xml:space="preserve">IPCC 1994
</t>
        </r>
      </text>
    </comment>
    <comment ref="H71" authorId="0">
      <text>
        <r>
          <rPr>
            <sz val="9"/>
            <color indexed="81"/>
            <rFont val="Tahoma"/>
            <family val="2"/>
          </rPr>
          <t xml:space="preserve">See note on CFC-11
</t>
        </r>
      </text>
    </comment>
    <comment ref="J71" authorId="0">
      <text>
        <r>
          <rPr>
            <sz val="9"/>
            <color indexed="81"/>
            <rFont val="Tahoma"/>
            <family val="2"/>
          </rPr>
          <t xml:space="preserve">See notes on CFC11
</t>
        </r>
      </text>
    </comment>
    <comment ref="K71" authorId="0">
      <text>
        <r>
          <rPr>
            <sz val="9"/>
            <color indexed="81"/>
            <rFont val="Tahoma"/>
            <family val="2"/>
          </rPr>
          <t xml:space="preserve">See notes on CFC11
</t>
        </r>
      </text>
    </comment>
    <comment ref="A72" authorId="0">
      <text>
        <r>
          <rPr>
            <sz val="9"/>
            <color indexed="81"/>
            <rFont val="Tahoma"/>
            <family val="2"/>
          </rPr>
          <t xml:space="preserve">Pentafluoroethane
</t>
        </r>
      </text>
    </comment>
    <comment ref="H72" authorId="0">
      <text>
        <r>
          <rPr>
            <sz val="9"/>
            <color indexed="81"/>
            <rFont val="Tahoma"/>
            <family val="2"/>
          </rPr>
          <t xml:space="preserve">See note on CFC-11
</t>
        </r>
      </text>
    </comment>
    <comment ref="J72" authorId="0">
      <text>
        <r>
          <rPr>
            <sz val="9"/>
            <color indexed="81"/>
            <rFont val="Tahoma"/>
            <family val="2"/>
          </rPr>
          <t xml:space="preserve">See notes on CFC11
</t>
        </r>
      </text>
    </comment>
    <comment ref="K72" authorId="0">
      <text>
        <r>
          <rPr>
            <sz val="9"/>
            <color indexed="81"/>
            <rFont val="Tahoma"/>
            <family val="2"/>
          </rPr>
          <t xml:space="preserve">See notes on CFC11
</t>
        </r>
      </text>
    </comment>
    <comment ref="H73" authorId="0">
      <text>
        <r>
          <rPr>
            <sz val="9"/>
            <color indexed="81"/>
            <rFont val="Tahoma"/>
            <family val="2"/>
          </rPr>
          <t xml:space="preserve">See note on CFC-11
</t>
        </r>
      </text>
    </comment>
    <comment ref="J73" authorId="0">
      <text>
        <r>
          <rPr>
            <sz val="9"/>
            <color indexed="81"/>
            <rFont val="Tahoma"/>
            <family val="2"/>
          </rPr>
          <t xml:space="preserve">See notes on CFC11
</t>
        </r>
      </text>
    </comment>
    <comment ref="K73" authorId="0">
      <text>
        <r>
          <rPr>
            <sz val="9"/>
            <color indexed="81"/>
            <rFont val="Tahoma"/>
            <family val="2"/>
          </rPr>
          <t xml:space="preserve">See notes on CFC11
</t>
        </r>
      </text>
    </comment>
    <comment ref="H74" authorId="0">
      <text>
        <r>
          <rPr>
            <sz val="9"/>
            <color indexed="81"/>
            <rFont val="Tahoma"/>
            <family val="2"/>
          </rPr>
          <t xml:space="preserve">See note on CFC-11
</t>
        </r>
      </text>
    </comment>
    <comment ref="J74" authorId="0">
      <text>
        <r>
          <rPr>
            <sz val="9"/>
            <color indexed="81"/>
            <rFont val="Tahoma"/>
            <family val="2"/>
          </rPr>
          <t xml:space="preserve">See notes on CFC11
</t>
        </r>
      </text>
    </comment>
    <comment ref="K74" authorId="0">
      <text>
        <r>
          <rPr>
            <sz val="9"/>
            <color indexed="81"/>
            <rFont val="Tahoma"/>
            <family val="2"/>
          </rPr>
          <t xml:space="preserve">See notes on CFC11
</t>
        </r>
      </text>
    </comment>
    <comment ref="H75" authorId="0">
      <text>
        <r>
          <rPr>
            <sz val="9"/>
            <color indexed="81"/>
            <rFont val="Tahoma"/>
            <family val="2"/>
          </rPr>
          <t xml:space="preserve">See note on CFC-11
</t>
        </r>
      </text>
    </comment>
    <comment ref="J75" authorId="0">
      <text>
        <r>
          <rPr>
            <sz val="9"/>
            <color indexed="81"/>
            <rFont val="Tahoma"/>
            <family val="2"/>
          </rPr>
          <t xml:space="preserve">See notes on CFC11
</t>
        </r>
      </text>
    </comment>
    <comment ref="K75" authorId="0">
      <text>
        <r>
          <rPr>
            <sz val="9"/>
            <color indexed="81"/>
            <rFont val="Tahoma"/>
            <family val="2"/>
          </rPr>
          <t xml:space="preserve">See notes on CFC11
</t>
        </r>
      </text>
    </comment>
    <comment ref="H76" authorId="0">
      <text>
        <r>
          <rPr>
            <sz val="9"/>
            <color indexed="81"/>
            <rFont val="Tahoma"/>
            <family val="2"/>
          </rPr>
          <t xml:space="preserve">See note on CFC-11
</t>
        </r>
      </text>
    </comment>
    <comment ref="J76" authorId="0">
      <text>
        <r>
          <rPr>
            <sz val="9"/>
            <color indexed="81"/>
            <rFont val="Tahoma"/>
            <family val="2"/>
          </rPr>
          <t xml:space="preserve">See notes on CFC11
</t>
        </r>
      </text>
    </comment>
    <comment ref="K76" authorId="0">
      <text>
        <r>
          <rPr>
            <sz val="9"/>
            <color indexed="81"/>
            <rFont val="Tahoma"/>
            <family val="2"/>
          </rPr>
          <t xml:space="preserve">See notes on CFC11
</t>
        </r>
      </text>
    </comment>
    <comment ref="H77" authorId="0">
      <text>
        <r>
          <rPr>
            <sz val="9"/>
            <color indexed="81"/>
            <rFont val="Tahoma"/>
            <family val="2"/>
          </rPr>
          <t xml:space="preserve">See note on CFC-11
</t>
        </r>
      </text>
    </comment>
    <comment ref="J77" authorId="0">
      <text>
        <r>
          <rPr>
            <sz val="9"/>
            <color indexed="81"/>
            <rFont val="Tahoma"/>
            <family val="2"/>
          </rPr>
          <t xml:space="preserve">See notes on CFC11
</t>
        </r>
      </text>
    </comment>
    <comment ref="K77" authorId="0">
      <text>
        <r>
          <rPr>
            <sz val="9"/>
            <color indexed="81"/>
            <rFont val="Tahoma"/>
            <family val="2"/>
          </rPr>
          <t xml:space="preserve">See notes on CFC11
</t>
        </r>
      </text>
    </comment>
    <comment ref="H78" authorId="0">
      <text>
        <r>
          <rPr>
            <sz val="9"/>
            <color indexed="81"/>
            <rFont val="Tahoma"/>
            <family val="2"/>
          </rPr>
          <t xml:space="preserve">See note on CFC-11
</t>
        </r>
      </text>
    </comment>
    <comment ref="J78" authorId="0">
      <text>
        <r>
          <rPr>
            <sz val="9"/>
            <color indexed="81"/>
            <rFont val="Tahoma"/>
            <family val="2"/>
          </rPr>
          <t xml:space="preserve">See notes on CFC11
</t>
        </r>
      </text>
    </comment>
    <comment ref="K78" authorId="0">
      <text>
        <r>
          <rPr>
            <sz val="9"/>
            <color indexed="81"/>
            <rFont val="Tahoma"/>
            <family val="2"/>
          </rPr>
          <t xml:space="preserve">See notes on CFC11
</t>
        </r>
      </text>
    </comment>
    <comment ref="H79" authorId="0">
      <text>
        <r>
          <rPr>
            <sz val="9"/>
            <color indexed="81"/>
            <rFont val="Tahoma"/>
            <family val="2"/>
          </rPr>
          <t xml:space="preserve">See note on CFC-11
</t>
        </r>
      </text>
    </comment>
    <comment ref="J79" authorId="0">
      <text>
        <r>
          <rPr>
            <sz val="9"/>
            <color indexed="81"/>
            <rFont val="Tahoma"/>
            <family val="2"/>
          </rPr>
          <t xml:space="preserve">See notes on CFC11
</t>
        </r>
      </text>
    </comment>
    <comment ref="K79" authorId="0">
      <text>
        <r>
          <rPr>
            <sz val="9"/>
            <color indexed="81"/>
            <rFont val="Tahoma"/>
            <family val="2"/>
          </rPr>
          <t xml:space="preserve">See notes on CFC11
</t>
        </r>
      </text>
    </comment>
    <comment ref="H80" authorId="0">
      <text>
        <r>
          <rPr>
            <sz val="9"/>
            <color indexed="81"/>
            <rFont val="Tahoma"/>
            <family val="2"/>
          </rPr>
          <t xml:space="preserve">See note on CFC-11
</t>
        </r>
      </text>
    </comment>
    <comment ref="J80" authorId="0">
      <text>
        <r>
          <rPr>
            <sz val="9"/>
            <color indexed="81"/>
            <rFont val="Tahoma"/>
            <family val="2"/>
          </rPr>
          <t xml:space="preserve">See notes on CFC11
</t>
        </r>
      </text>
    </comment>
    <comment ref="K80" authorId="0">
      <text>
        <r>
          <rPr>
            <sz val="9"/>
            <color indexed="81"/>
            <rFont val="Tahoma"/>
            <family val="2"/>
          </rPr>
          <t xml:space="preserve">See notes on CFC11
</t>
        </r>
      </text>
    </comment>
    <comment ref="H81" authorId="0">
      <text>
        <r>
          <rPr>
            <sz val="9"/>
            <color indexed="81"/>
            <rFont val="Tahoma"/>
            <family val="2"/>
          </rPr>
          <t xml:space="preserve">See note on CFC-11
</t>
        </r>
      </text>
    </comment>
    <comment ref="J81" authorId="0">
      <text>
        <r>
          <rPr>
            <sz val="9"/>
            <color indexed="81"/>
            <rFont val="Tahoma"/>
            <family val="2"/>
          </rPr>
          <t xml:space="preserve">See notes on CFC11
</t>
        </r>
      </text>
    </comment>
    <comment ref="K81" authorId="0">
      <text>
        <r>
          <rPr>
            <sz val="9"/>
            <color indexed="81"/>
            <rFont val="Tahoma"/>
            <family val="2"/>
          </rPr>
          <t xml:space="preserve">See notes on CFC11
</t>
        </r>
      </text>
    </comment>
    <comment ref="H82" authorId="0">
      <text>
        <r>
          <rPr>
            <sz val="9"/>
            <color indexed="81"/>
            <rFont val="Tahoma"/>
            <family val="2"/>
          </rPr>
          <t xml:space="preserve">See note on CFC-11
</t>
        </r>
      </text>
    </comment>
    <comment ref="J82" authorId="0">
      <text>
        <r>
          <rPr>
            <sz val="9"/>
            <color indexed="81"/>
            <rFont val="Tahoma"/>
            <family val="2"/>
          </rPr>
          <t xml:space="preserve">See notes on CFC11
</t>
        </r>
      </text>
    </comment>
    <comment ref="K82" authorId="0">
      <text>
        <r>
          <rPr>
            <sz val="9"/>
            <color indexed="81"/>
            <rFont val="Tahoma"/>
            <family val="2"/>
          </rPr>
          <t xml:space="preserve">See notes on CFC11
</t>
        </r>
      </text>
    </comment>
    <comment ref="H83" authorId="0">
      <text>
        <r>
          <rPr>
            <sz val="9"/>
            <color indexed="81"/>
            <rFont val="Tahoma"/>
            <family val="2"/>
          </rPr>
          <t xml:space="preserve">See note on CFC-11
</t>
        </r>
      </text>
    </comment>
    <comment ref="J83" authorId="0">
      <text>
        <r>
          <rPr>
            <sz val="9"/>
            <color indexed="81"/>
            <rFont val="Tahoma"/>
            <family val="2"/>
          </rPr>
          <t xml:space="preserve">See notes on CFC11
</t>
        </r>
      </text>
    </comment>
    <comment ref="K83" authorId="0">
      <text>
        <r>
          <rPr>
            <sz val="9"/>
            <color indexed="81"/>
            <rFont val="Tahoma"/>
            <family val="2"/>
          </rPr>
          <t xml:space="preserve">See notes on CFC11
</t>
        </r>
      </text>
    </comment>
    <comment ref="H84" authorId="0">
      <text>
        <r>
          <rPr>
            <sz val="9"/>
            <color indexed="81"/>
            <rFont val="Tahoma"/>
            <family val="2"/>
          </rPr>
          <t xml:space="preserve">See note on CFC-11
</t>
        </r>
      </text>
    </comment>
    <comment ref="J84" authorId="0">
      <text>
        <r>
          <rPr>
            <sz val="9"/>
            <color indexed="81"/>
            <rFont val="Tahoma"/>
            <family val="2"/>
          </rPr>
          <t xml:space="preserve">See notes on CFC11
</t>
        </r>
      </text>
    </comment>
    <comment ref="K84" authorId="0">
      <text>
        <r>
          <rPr>
            <sz val="9"/>
            <color indexed="81"/>
            <rFont val="Tahoma"/>
            <family val="2"/>
          </rPr>
          <t xml:space="preserve">See notes on CFC11
</t>
        </r>
      </text>
    </comment>
    <comment ref="H85" authorId="0">
      <text>
        <r>
          <rPr>
            <sz val="9"/>
            <color indexed="81"/>
            <rFont val="Tahoma"/>
            <family val="2"/>
          </rPr>
          <t xml:space="preserve">See note on CFC-11
</t>
        </r>
      </text>
    </comment>
    <comment ref="J85" authorId="0">
      <text>
        <r>
          <rPr>
            <sz val="9"/>
            <color indexed="81"/>
            <rFont val="Tahoma"/>
            <family val="2"/>
          </rPr>
          <t xml:space="preserve">See notes on CFC11
</t>
        </r>
      </text>
    </comment>
    <comment ref="K85" authorId="0">
      <text>
        <r>
          <rPr>
            <sz val="9"/>
            <color indexed="81"/>
            <rFont val="Tahoma"/>
            <family val="2"/>
          </rPr>
          <t xml:space="preserve">See notes on CFC11
</t>
        </r>
      </text>
    </comment>
    <comment ref="H86" authorId="0">
      <text>
        <r>
          <rPr>
            <sz val="9"/>
            <color indexed="81"/>
            <rFont val="Tahoma"/>
            <family val="2"/>
          </rPr>
          <t xml:space="preserve">See note on CFC-11
</t>
        </r>
      </text>
    </comment>
    <comment ref="J86" authorId="0">
      <text>
        <r>
          <rPr>
            <sz val="9"/>
            <color indexed="81"/>
            <rFont val="Tahoma"/>
            <family val="2"/>
          </rPr>
          <t xml:space="preserve">See notes on CFC11
</t>
        </r>
      </text>
    </comment>
    <comment ref="K86" authorId="0">
      <text>
        <r>
          <rPr>
            <sz val="9"/>
            <color indexed="81"/>
            <rFont val="Tahoma"/>
            <family val="2"/>
          </rPr>
          <t xml:space="preserve">See notes on CFC11
</t>
        </r>
      </text>
    </comment>
    <comment ref="H87" authorId="0">
      <text>
        <r>
          <rPr>
            <sz val="9"/>
            <color indexed="81"/>
            <rFont val="Tahoma"/>
            <family val="2"/>
          </rPr>
          <t xml:space="preserve">See note on CFC-11
</t>
        </r>
      </text>
    </comment>
    <comment ref="J87" authorId="0">
      <text>
        <r>
          <rPr>
            <sz val="9"/>
            <color indexed="81"/>
            <rFont val="Tahoma"/>
            <family val="2"/>
          </rPr>
          <t xml:space="preserve">See notes on CFC11
</t>
        </r>
      </text>
    </comment>
    <comment ref="K87" authorId="0">
      <text>
        <r>
          <rPr>
            <sz val="9"/>
            <color indexed="81"/>
            <rFont val="Tahoma"/>
            <family val="2"/>
          </rPr>
          <t xml:space="preserve">See notes on CFC11
</t>
        </r>
      </text>
    </comment>
    <comment ref="H88" authorId="0">
      <text>
        <r>
          <rPr>
            <sz val="9"/>
            <color indexed="81"/>
            <rFont val="Tahoma"/>
            <family val="2"/>
          </rPr>
          <t xml:space="preserve">See note on CFC-11
</t>
        </r>
      </text>
    </comment>
    <comment ref="J88" authorId="0">
      <text>
        <r>
          <rPr>
            <sz val="9"/>
            <color indexed="81"/>
            <rFont val="Tahoma"/>
            <family val="2"/>
          </rPr>
          <t xml:space="preserve">See notes on CFC11
</t>
        </r>
      </text>
    </comment>
    <comment ref="K88" authorId="0">
      <text>
        <r>
          <rPr>
            <sz val="9"/>
            <color indexed="81"/>
            <rFont val="Tahoma"/>
            <family val="2"/>
          </rPr>
          <t xml:space="preserve">See notes on CFC11
</t>
        </r>
      </text>
    </comment>
    <comment ref="A89" authorId="0">
      <text>
        <r>
          <rPr>
            <sz val="9"/>
            <color indexed="81"/>
            <rFont val="Tahoma"/>
            <family val="2"/>
          </rPr>
          <t xml:space="preserve">1,1,1,3,3-Pentafluoropropane
</t>
        </r>
      </text>
    </comment>
    <comment ref="H89" authorId="0">
      <text>
        <r>
          <rPr>
            <sz val="9"/>
            <color indexed="81"/>
            <rFont val="Tahoma"/>
            <family val="2"/>
          </rPr>
          <t xml:space="preserve">See note on CFC-11
</t>
        </r>
      </text>
    </comment>
    <comment ref="J89" authorId="0">
      <text>
        <r>
          <rPr>
            <sz val="9"/>
            <color indexed="81"/>
            <rFont val="Tahoma"/>
            <family val="2"/>
          </rPr>
          <t xml:space="preserve">See notes on CFC11
</t>
        </r>
      </text>
    </comment>
    <comment ref="K89" authorId="0">
      <text>
        <r>
          <rPr>
            <sz val="9"/>
            <color indexed="81"/>
            <rFont val="Tahoma"/>
            <family val="2"/>
          </rPr>
          <t xml:space="preserve">See notes on CFC11
</t>
        </r>
      </text>
    </comment>
    <comment ref="H90" authorId="0">
      <text>
        <r>
          <rPr>
            <sz val="9"/>
            <color indexed="81"/>
            <rFont val="Tahoma"/>
            <family val="2"/>
          </rPr>
          <t xml:space="preserve">See note on CFC-11
</t>
        </r>
      </text>
    </comment>
    <comment ref="J90" authorId="0">
      <text>
        <r>
          <rPr>
            <sz val="9"/>
            <color indexed="81"/>
            <rFont val="Tahoma"/>
            <family val="2"/>
          </rPr>
          <t xml:space="preserve">See notes on CFC11
</t>
        </r>
      </text>
    </comment>
    <comment ref="K90" authorId="0">
      <text>
        <r>
          <rPr>
            <sz val="9"/>
            <color indexed="81"/>
            <rFont val="Tahoma"/>
            <family val="2"/>
          </rPr>
          <t xml:space="preserve">See notes on CFC11
</t>
        </r>
      </text>
    </comment>
    <comment ref="H91" authorId="0">
      <text>
        <r>
          <rPr>
            <sz val="9"/>
            <color indexed="81"/>
            <rFont val="Tahoma"/>
            <family val="2"/>
          </rPr>
          <t xml:space="preserve">See note on CFC-11
</t>
        </r>
      </text>
    </comment>
    <comment ref="J91" authorId="0">
      <text>
        <r>
          <rPr>
            <sz val="9"/>
            <color indexed="81"/>
            <rFont val="Tahoma"/>
            <family val="2"/>
          </rPr>
          <t xml:space="preserve">See notes on CFC11
</t>
        </r>
      </text>
    </comment>
    <comment ref="K91" authorId="0">
      <text>
        <r>
          <rPr>
            <sz val="9"/>
            <color indexed="81"/>
            <rFont val="Tahoma"/>
            <family val="2"/>
          </rPr>
          <t xml:space="preserve">See notes on CFC11
</t>
        </r>
      </text>
    </comment>
    <comment ref="H92" authorId="0">
      <text>
        <r>
          <rPr>
            <sz val="9"/>
            <color indexed="81"/>
            <rFont val="Tahoma"/>
            <family val="2"/>
          </rPr>
          <t xml:space="preserve">See note on CFC-11
</t>
        </r>
      </text>
    </comment>
    <comment ref="J92" authorId="0">
      <text>
        <r>
          <rPr>
            <sz val="9"/>
            <color indexed="81"/>
            <rFont val="Tahoma"/>
            <family val="2"/>
          </rPr>
          <t xml:space="preserve">See notes on CFC11
</t>
        </r>
      </text>
    </comment>
    <comment ref="K92" authorId="0">
      <text>
        <r>
          <rPr>
            <sz val="9"/>
            <color indexed="81"/>
            <rFont val="Tahoma"/>
            <family val="2"/>
          </rPr>
          <t xml:space="preserve">See notes on CFC11
</t>
        </r>
      </text>
    </comment>
    <comment ref="H93" authorId="0">
      <text>
        <r>
          <rPr>
            <sz val="9"/>
            <color indexed="81"/>
            <rFont val="Tahoma"/>
            <family val="2"/>
          </rPr>
          <t xml:space="preserve">See note on CFC-11
</t>
        </r>
      </text>
    </comment>
    <comment ref="J93" authorId="0">
      <text>
        <r>
          <rPr>
            <sz val="9"/>
            <color indexed="81"/>
            <rFont val="Tahoma"/>
            <family val="2"/>
          </rPr>
          <t xml:space="preserve">See notes on CFC11
</t>
        </r>
      </text>
    </comment>
    <comment ref="K93" authorId="0">
      <text>
        <r>
          <rPr>
            <sz val="9"/>
            <color indexed="81"/>
            <rFont val="Tahoma"/>
            <family val="2"/>
          </rPr>
          <t xml:space="preserve">See notes on CFC11
</t>
        </r>
      </text>
    </comment>
    <comment ref="H94" authorId="0">
      <text>
        <r>
          <rPr>
            <sz val="9"/>
            <color indexed="81"/>
            <rFont val="Tahoma"/>
            <family val="2"/>
          </rPr>
          <t xml:space="preserve">See note on CFC-11
</t>
        </r>
      </text>
    </comment>
    <comment ref="J94" authorId="0">
      <text>
        <r>
          <rPr>
            <sz val="9"/>
            <color indexed="81"/>
            <rFont val="Tahoma"/>
            <family val="2"/>
          </rPr>
          <t xml:space="preserve">See notes on CFC11
</t>
        </r>
      </text>
    </comment>
    <comment ref="K94" authorId="0">
      <text>
        <r>
          <rPr>
            <sz val="9"/>
            <color indexed="81"/>
            <rFont val="Tahoma"/>
            <family val="2"/>
          </rPr>
          <t xml:space="preserve">See notes on CFC11
</t>
        </r>
      </text>
    </comment>
    <comment ref="H95" authorId="0">
      <text>
        <r>
          <rPr>
            <sz val="9"/>
            <color indexed="81"/>
            <rFont val="Tahoma"/>
            <family val="2"/>
          </rPr>
          <t xml:space="preserve">See note on CFC-11
</t>
        </r>
      </text>
    </comment>
    <comment ref="J95" authorId="0">
      <text>
        <r>
          <rPr>
            <sz val="9"/>
            <color indexed="81"/>
            <rFont val="Tahoma"/>
            <family val="2"/>
          </rPr>
          <t xml:space="preserve">See notes on CFC11
</t>
        </r>
      </text>
    </comment>
    <comment ref="K95" authorId="0">
      <text>
        <r>
          <rPr>
            <sz val="9"/>
            <color indexed="81"/>
            <rFont val="Tahoma"/>
            <family val="2"/>
          </rPr>
          <t xml:space="preserve">See notes on CFC11
</t>
        </r>
      </text>
    </comment>
    <comment ref="H96" authorId="0">
      <text>
        <r>
          <rPr>
            <sz val="9"/>
            <color indexed="81"/>
            <rFont val="Tahoma"/>
            <family val="2"/>
          </rPr>
          <t xml:space="preserve">See note on CFC-11
</t>
        </r>
      </text>
    </comment>
    <comment ref="J96" authorId="0">
      <text>
        <r>
          <rPr>
            <sz val="9"/>
            <color indexed="81"/>
            <rFont val="Tahoma"/>
            <family val="2"/>
          </rPr>
          <t xml:space="preserve">See notes on CFC11
</t>
        </r>
      </text>
    </comment>
    <comment ref="K96" authorId="0">
      <text>
        <r>
          <rPr>
            <sz val="9"/>
            <color indexed="81"/>
            <rFont val="Tahoma"/>
            <family val="2"/>
          </rPr>
          <t xml:space="preserve">See notes on CFC11
</t>
        </r>
      </text>
    </comment>
    <comment ref="H97" authorId="0">
      <text>
        <r>
          <rPr>
            <sz val="9"/>
            <color indexed="81"/>
            <rFont val="Tahoma"/>
            <family val="2"/>
          </rPr>
          <t xml:space="preserve">See note on CFC-11
</t>
        </r>
      </text>
    </comment>
    <comment ref="J97" authorId="0">
      <text>
        <r>
          <rPr>
            <sz val="9"/>
            <color indexed="81"/>
            <rFont val="Tahoma"/>
            <family val="2"/>
          </rPr>
          <t xml:space="preserve">See notes on CFC11
</t>
        </r>
      </text>
    </comment>
    <comment ref="K97" authorId="0">
      <text>
        <r>
          <rPr>
            <sz val="9"/>
            <color indexed="81"/>
            <rFont val="Tahoma"/>
            <family val="2"/>
          </rPr>
          <t xml:space="preserve">See notes on CFC11
</t>
        </r>
      </text>
    </comment>
    <comment ref="H98" authorId="0">
      <text>
        <r>
          <rPr>
            <sz val="9"/>
            <color indexed="81"/>
            <rFont val="Tahoma"/>
            <family val="2"/>
          </rPr>
          <t xml:space="preserve">See note on CFC-11
</t>
        </r>
      </text>
    </comment>
    <comment ref="J98" authorId="0">
      <text>
        <r>
          <rPr>
            <sz val="9"/>
            <color indexed="81"/>
            <rFont val="Tahoma"/>
            <family val="2"/>
          </rPr>
          <t xml:space="preserve">See notes on CFC11
</t>
        </r>
      </text>
    </comment>
    <comment ref="K98" authorId="0">
      <text>
        <r>
          <rPr>
            <sz val="9"/>
            <color indexed="81"/>
            <rFont val="Tahoma"/>
            <family val="2"/>
          </rPr>
          <t xml:space="preserve">See notes on CFC11
</t>
        </r>
      </text>
    </comment>
    <comment ref="H99" authorId="0">
      <text>
        <r>
          <rPr>
            <sz val="9"/>
            <color indexed="81"/>
            <rFont val="Tahoma"/>
            <family val="2"/>
          </rPr>
          <t xml:space="preserve">See note on CFC-11
</t>
        </r>
      </text>
    </comment>
    <comment ref="J99" authorId="0">
      <text>
        <r>
          <rPr>
            <sz val="9"/>
            <color indexed="81"/>
            <rFont val="Tahoma"/>
            <family val="2"/>
          </rPr>
          <t xml:space="preserve">See notes on CFC11
</t>
        </r>
      </text>
    </comment>
    <comment ref="K99" authorId="0">
      <text>
        <r>
          <rPr>
            <sz val="9"/>
            <color indexed="81"/>
            <rFont val="Tahoma"/>
            <family val="2"/>
          </rPr>
          <t xml:space="preserve">See notes on CFC11
</t>
        </r>
      </text>
    </comment>
    <comment ref="H100" authorId="0">
      <text>
        <r>
          <rPr>
            <sz val="9"/>
            <color indexed="81"/>
            <rFont val="Tahoma"/>
            <family val="2"/>
          </rPr>
          <t xml:space="preserve">See note on CFC-11
</t>
        </r>
      </text>
    </comment>
    <comment ref="J100" authorId="0">
      <text>
        <r>
          <rPr>
            <sz val="9"/>
            <color indexed="81"/>
            <rFont val="Tahoma"/>
            <family val="2"/>
          </rPr>
          <t xml:space="preserve">See notes on CFC11
</t>
        </r>
      </text>
    </comment>
    <comment ref="K100" authorId="0">
      <text>
        <r>
          <rPr>
            <sz val="9"/>
            <color indexed="81"/>
            <rFont val="Tahoma"/>
            <family val="2"/>
          </rPr>
          <t xml:space="preserve">See notes on CFC11
</t>
        </r>
      </text>
    </comment>
    <comment ref="H101" authorId="0">
      <text>
        <r>
          <rPr>
            <sz val="9"/>
            <color indexed="81"/>
            <rFont val="Tahoma"/>
            <family val="2"/>
          </rPr>
          <t xml:space="preserve">See note on CFC-11
</t>
        </r>
      </text>
    </comment>
    <comment ref="J101" authorId="0">
      <text>
        <r>
          <rPr>
            <sz val="9"/>
            <color indexed="81"/>
            <rFont val="Tahoma"/>
            <family val="2"/>
          </rPr>
          <t xml:space="preserve">See notes on CFC11
</t>
        </r>
      </text>
    </comment>
    <comment ref="K101" authorId="0">
      <text>
        <r>
          <rPr>
            <sz val="9"/>
            <color indexed="81"/>
            <rFont val="Tahoma"/>
            <family val="2"/>
          </rPr>
          <t xml:space="preserve">See notes on CFC11
</t>
        </r>
      </text>
    </comment>
    <comment ref="H102" authorId="0">
      <text>
        <r>
          <rPr>
            <sz val="9"/>
            <color indexed="81"/>
            <rFont val="Tahoma"/>
            <family val="2"/>
          </rPr>
          <t xml:space="preserve">See note on CFC-11
</t>
        </r>
      </text>
    </comment>
    <comment ref="J102" authorId="0">
      <text>
        <r>
          <rPr>
            <sz val="9"/>
            <color indexed="81"/>
            <rFont val="Tahoma"/>
            <family val="2"/>
          </rPr>
          <t xml:space="preserve">See notes on CFC11
</t>
        </r>
      </text>
    </comment>
    <comment ref="K102" authorId="0">
      <text>
        <r>
          <rPr>
            <sz val="9"/>
            <color indexed="81"/>
            <rFont val="Tahoma"/>
            <family val="2"/>
          </rPr>
          <t xml:space="preserve">See notes on CFC11
</t>
        </r>
      </text>
    </comment>
    <comment ref="H103" authorId="0">
      <text>
        <r>
          <rPr>
            <sz val="9"/>
            <color indexed="81"/>
            <rFont val="Tahoma"/>
            <family val="2"/>
          </rPr>
          <t xml:space="preserve">See note on CFC-11
</t>
        </r>
      </text>
    </comment>
    <comment ref="J103" authorId="0">
      <text>
        <r>
          <rPr>
            <sz val="9"/>
            <color indexed="81"/>
            <rFont val="Tahoma"/>
            <family val="2"/>
          </rPr>
          <t xml:space="preserve">See notes on CFC11
</t>
        </r>
      </text>
    </comment>
    <comment ref="K103" authorId="0">
      <text>
        <r>
          <rPr>
            <sz val="9"/>
            <color indexed="81"/>
            <rFont val="Tahoma"/>
            <family val="2"/>
          </rPr>
          <t xml:space="preserve">See notes on CFC11
</t>
        </r>
      </text>
    </comment>
    <comment ref="H104" authorId="0">
      <text>
        <r>
          <rPr>
            <sz val="9"/>
            <color indexed="81"/>
            <rFont val="Tahoma"/>
            <family val="2"/>
          </rPr>
          <t xml:space="preserve">See note on CFC-11
</t>
        </r>
      </text>
    </comment>
    <comment ref="J104" authorId="0">
      <text>
        <r>
          <rPr>
            <sz val="9"/>
            <color indexed="81"/>
            <rFont val="Tahoma"/>
            <family val="2"/>
          </rPr>
          <t xml:space="preserve">See notes on CFC11
</t>
        </r>
      </text>
    </comment>
    <comment ref="K104" authorId="0">
      <text>
        <r>
          <rPr>
            <sz val="9"/>
            <color indexed="81"/>
            <rFont val="Tahoma"/>
            <family val="2"/>
          </rPr>
          <t xml:space="preserve">See notes on CFC11
</t>
        </r>
      </text>
    </comment>
    <comment ref="H105" authorId="0">
      <text>
        <r>
          <rPr>
            <sz val="9"/>
            <color indexed="81"/>
            <rFont val="Tahoma"/>
            <family val="2"/>
          </rPr>
          <t xml:space="preserve">See note on CFC-11
</t>
        </r>
      </text>
    </comment>
    <comment ref="J105" authorId="0">
      <text>
        <r>
          <rPr>
            <sz val="9"/>
            <color indexed="81"/>
            <rFont val="Tahoma"/>
            <family val="2"/>
          </rPr>
          <t xml:space="preserve">See notes on CFC11
</t>
        </r>
      </text>
    </comment>
    <comment ref="K105" authorId="0">
      <text>
        <r>
          <rPr>
            <sz val="9"/>
            <color indexed="81"/>
            <rFont val="Tahoma"/>
            <family val="2"/>
          </rPr>
          <t xml:space="preserve">See notes on CFC11
</t>
        </r>
      </text>
    </comment>
    <comment ref="H106" authorId="0">
      <text>
        <r>
          <rPr>
            <sz val="9"/>
            <color indexed="81"/>
            <rFont val="Tahoma"/>
            <family val="2"/>
          </rPr>
          <t xml:space="preserve">See note on CFC-11
</t>
        </r>
      </text>
    </comment>
    <comment ref="J106" authorId="0">
      <text>
        <r>
          <rPr>
            <sz val="9"/>
            <color indexed="81"/>
            <rFont val="Tahoma"/>
            <family val="2"/>
          </rPr>
          <t xml:space="preserve">See notes on CFC11
</t>
        </r>
      </text>
    </comment>
    <comment ref="K106" authorId="0">
      <text>
        <r>
          <rPr>
            <sz val="9"/>
            <color indexed="81"/>
            <rFont val="Tahoma"/>
            <family val="2"/>
          </rPr>
          <t xml:space="preserve">See notes on CFC11
</t>
        </r>
      </text>
    </comment>
    <comment ref="H107" authorId="0">
      <text>
        <r>
          <rPr>
            <sz val="9"/>
            <color indexed="81"/>
            <rFont val="Tahoma"/>
            <family val="2"/>
          </rPr>
          <t xml:space="preserve">See note on CFC-11
</t>
        </r>
      </text>
    </comment>
    <comment ref="J107" authorId="0">
      <text>
        <r>
          <rPr>
            <sz val="9"/>
            <color indexed="81"/>
            <rFont val="Tahoma"/>
            <family val="2"/>
          </rPr>
          <t xml:space="preserve">See notes on CFC11
</t>
        </r>
      </text>
    </comment>
    <comment ref="K107" authorId="0">
      <text>
        <r>
          <rPr>
            <sz val="9"/>
            <color indexed="81"/>
            <rFont val="Tahoma"/>
            <family val="2"/>
          </rPr>
          <t xml:space="preserve">See notes on CFC11
</t>
        </r>
      </text>
    </comment>
    <comment ref="F108" authorId="0">
      <text>
        <r>
          <rPr>
            <sz val="9"/>
            <color indexed="81"/>
            <rFont val="Tahoma"/>
            <family val="2"/>
          </rPr>
          <t xml:space="preserve">WMO 2006
</t>
        </r>
      </text>
    </comment>
    <comment ref="H108" authorId="0">
      <text>
        <r>
          <rPr>
            <sz val="9"/>
            <color indexed="81"/>
            <rFont val="Tahoma"/>
            <family val="2"/>
          </rPr>
          <t xml:space="preserve">See note on CFC-11
</t>
        </r>
      </text>
    </comment>
    <comment ref="J108" authorId="0">
      <text>
        <r>
          <rPr>
            <sz val="9"/>
            <color indexed="81"/>
            <rFont val="Tahoma"/>
            <family val="2"/>
          </rPr>
          <t xml:space="preserve">See notes on CFC11
</t>
        </r>
      </text>
    </comment>
    <comment ref="K108" authorId="0">
      <text>
        <r>
          <rPr>
            <sz val="9"/>
            <color indexed="81"/>
            <rFont val="Tahoma"/>
            <family val="2"/>
          </rPr>
          <t xml:space="preserve">See notes on CFC11
</t>
        </r>
      </text>
    </comment>
    <comment ref="H109" authorId="0">
      <text>
        <r>
          <rPr>
            <sz val="9"/>
            <color indexed="81"/>
            <rFont val="Tahoma"/>
            <family val="2"/>
          </rPr>
          <t xml:space="preserve">See note on CFC-11
</t>
        </r>
      </text>
    </comment>
    <comment ref="J109" authorId="0">
      <text>
        <r>
          <rPr>
            <sz val="9"/>
            <color indexed="81"/>
            <rFont val="Tahoma"/>
            <family val="2"/>
          </rPr>
          <t xml:space="preserve">See notes on CFC11
</t>
        </r>
      </text>
    </comment>
    <comment ref="K109" authorId="0">
      <text>
        <r>
          <rPr>
            <sz val="9"/>
            <color indexed="81"/>
            <rFont val="Tahoma"/>
            <family val="2"/>
          </rPr>
          <t xml:space="preserve">See notes on CFC11
</t>
        </r>
      </text>
    </comment>
    <comment ref="H111" authorId="0">
      <text>
        <r>
          <rPr>
            <sz val="9"/>
            <color indexed="81"/>
            <rFont val="Tahoma"/>
            <family val="2"/>
          </rPr>
          <t xml:space="preserve">See note on CFC-11
</t>
        </r>
      </text>
    </comment>
    <comment ref="J111" authorId="0">
      <text>
        <r>
          <rPr>
            <sz val="9"/>
            <color indexed="81"/>
            <rFont val="Tahoma"/>
            <family val="2"/>
          </rPr>
          <t xml:space="preserve">See notes on CFC11
</t>
        </r>
      </text>
    </comment>
    <comment ref="K111" authorId="0">
      <text>
        <r>
          <rPr>
            <sz val="9"/>
            <color indexed="81"/>
            <rFont val="Tahoma"/>
            <family val="2"/>
          </rPr>
          <t xml:space="preserve">See notes on CFC11
</t>
        </r>
      </text>
    </comment>
    <comment ref="H112" authorId="0">
      <text>
        <r>
          <rPr>
            <sz val="9"/>
            <color indexed="81"/>
            <rFont val="Tahoma"/>
            <family val="2"/>
          </rPr>
          <t xml:space="preserve">See note on CFC-11
</t>
        </r>
      </text>
    </comment>
    <comment ref="J112" authorId="0">
      <text>
        <r>
          <rPr>
            <sz val="9"/>
            <color indexed="81"/>
            <rFont val="Tahoma"/>
            <family val="2"/>
          </rPr>
          <t xml:space="preserve">See notes on CFC11
</t>
        </r>
      </text>
    </comment>
    <comment ref="K112" authorId="0">
      <text>
        <r>
          <rPr>
            <sz val="9"/>
            <color indexed="81"/>
            <rFont val="Tahoma"/>
            <family val="2"/>
          </rPr>
          <t xml:space="preserve">See notes on CFC11
</t>
        </r>
      </text>
    </comment>
    <comment ref="A113" authorId="0">
      <text>
        <r>
          <rPr>
            <sz val="9"/>
            <color indexed="81"/>
            <rFont val="Tahoma"/>
            <family val="2"/>
          </rPr>
          <t>=Bromodifluoromethane,
HBFC-12B1(CHF2Br)</t>
        </r>
      </text>
    </comment>
    <comment ref="F113" authorId="0">
      <text>
        <r>
          <rPr>
            <sz val="9"/>
            <color indexed="81"/>
            <rFont val="Tahoma"/>
            <family val="2"/>
          </rPr>
          <t>ODP1, 
USEPA 2014</t>
        </r>
      </text>
    </comment>
    <comment ref="H113" authorId="0">
      <text>
        <r>
          <rPr>
            <sz val="9"/>
            <color indexed="81"/>
            <rFont val="Tahoma"/>
            <family val="2"/>
          </rPr>
          <t xml:space="preserve">See note on CFC-11
</t>
        </r>
      </text>
    </comment>
    <comment ref="J113" authorId="0">
      <text>
        <r>
          <rPr>
            <sz val="9"/>
            <color indexed="81"/>
            <rFont val="Tahoma"/>
            <family val="2"/>
          </rPr>
          <t xml:space="preserve">See notes on CFC11
</t>
        </r>
      </text>
    </comment>
    <comment ref="K113" authorId="0">
      <text>
        <r>
          <rPr>
            <sz val="9"/>
            <color indexed="81"/>
            <rFont val="Tahoma"/>
            <family val="2"/>
          </rPr>
          <t xml:space="preserve">See notes on CFC11
</t>
        </r>
      </text>
    </comment>
    <comment ref="A114" authorId="0">
      <text>
        <r>
          <rPr>
            <sz val="9"/>
            <color indexed="81"/>
            <rFont val="Tahoma"/>
            <family val="2"/>
          </rPr>
          <t xml:space="preserve">Difluorodibromomethane, = Carbon dibromide difluoride, Carbon bromide fluoride, Halon 1202, Fluorocarbon 12-B2, FC 12-B2, R 12B2
</t>
        </r>
      </text>
    </comment>
    <comment ref="H114" authorId="0">
      <text>
        <r>
          <rPr>
            <sz val="9"/>
            <color indexed="81"/>
            <rFont val="Tahoma"/>
            <family val="2"/>
          </rPr>
          <t xml:space="preserve">See note on CFC-11
</t>
        </r>
      </text>
    </comment>
    <comment ref="J114" authorId="0">
      <text>
        <r>
          <rPr>
            <sz val="9"/>
            <color indexed="81"/>
            <rFont val="Tahoma"/>
            <family val="2"/>
          </rPr>
          <t xml:space="preserve">See notes on CFC11
</t>
        </r>
      </text>
    </comment>
    <comment ref="K114" authorId="0">
      <text>
        <r>
          <rPr>
            <sz val="9"/>
            <color indexed="81"/>
            <rFont val="Tahoma"/>
            <family val="2"/>
          </rPr>
          <t xml:space="preserve">See notes on CFC11
</t>
        </r>
      </text>
    </comment>
    <comment ref="A115" authorId="0">
      <text>
        <r>
          <rPr>
            <sz val="9"/>
            <color indexed="81"/>
            <rFont val="Tahoma"/>
            <family val="2"/>
          </rPr>
          <t xml:space="preserve">= Bromdifluorklormetan, BCF, Freon 12B1, CBrClF2
</t>
        </r>
      </text>
    </comment>
    <comment ref="D115" authorId="0">
      <text>
        <r>
          <rPr>
            <sz val="9"/>
            <color indexed="81"/>
            <rFont val="Tahoma"/>
            <family val="2"/>
          </rPr>
          <t xml:space="preserve">Direct GWP. Youn et al (Youn, D., K.O. Patten, J.-T. Lin, and D.J. Wuebbles, Explicit calculation of indirect global warming potentials
for halons using atmospheric models, Atmos. Chem. Phys., 9 (22), 8719-8733, doi: 10.5194/acp-9-8719-2009, 2009) have included indirect effects and found a net GWP of -15000
</t>
        </r>
      </text>
    </comment>
    <comment ref="H115" authorId="0">
      <text>
        <r>
          <rPr>
            <sz val="9"/>
            <color indexed="81"/>
            <rFont val="Tahoma"/>
            <family val="2"/>
          </rPr>
          <t xml:space="preserve">See note on CFC-11
</t>
        </r>
      </text>
    </comment>
    <comment ref="J115" authorId="0">
      <text>
        <r>
          <rPr>
            <sz val="9"/>
            <color indexed="81"/>
            <rFont val="Tahoma"/>
            <family val="2"/>
          </rPr>
          <t xml:space="preserve">See notes on CFC11
</t>
        </r>
      </text>
    </comment>
    <comment ref="K115" authorId="0">
      <text>
        <r>
          <rPr>
            <sz val="9"/>
            <color indexed="81"/>
            <rFont val="Tahoma"/>
            <family val="2"/>
          </rPr>
          <t xml:space="preserve">See notes on CFC11
</t>
        </r>
      </text>
    </comment>
    <comment ref="D116" authorId="0">
      <text>
        <r>
          <rPr>
            <sz val="9"/>
            <color indexed="81"/>
            <rFont val="Tahoma"/>
            <family val="2"/>
          </rPr>
          <t xml:space="preserve">Direct GWP. Youn et al (Youn, D., K.O. Patten, J.-T. Lin, and D.J. Wuebbles, Explicit calculation of indirect global warming potentials
for halons using atmospheric models, Atmos. Chem. Phys., 9 (22), 8719-8733, doi: 10.5194/acp-9-8719-2009, 2009) have included indirect effects and found a net GWP of -30000
</t>
        </r>
      </text>
    </comment>
    <comment ref="H116" authorId="0">
      <text>
        <r>
          <rPr>
            <sz val="9"/>
            <color indexed="81"/>
            <rFont val="Tahoma"/>
            <family val="2"/>
          </rPr>
          <t xml:space="preserve">See note on CFC-11
</t>
        </r>
      </text>
    </comment>
    <comment ref="J116" authorId="0">
      <text>
        <r>
          <rPr>
            <sz val="9"/>
            <color indexed="81"/>
            <rFont val="Tahoma"/>
            <family val="2"/>
          </rPr>
          <t xml:space="preserve">See notes on CFC11
</t>
        </r>
      </text>
    </comment>
    <comment ref="K116" authorId="0">
      <text>
        <r>
          <rPr>
            <sz val="9"/>
            <color indexed="81"/>
            <rFont val="Tahoma"/>
            <family val="2"/>
          </rPr>
          <t xml:space="preserve">See notes on CFC11
</t>
        </r>
      </text>
    </comment>
    <comment ref="A117" authorId="0">
      <text>
        <r>
          <rPr>
            <sz val="9"/>
            <color indexed="81"/>
            <rFont val="Tahoma"/>
            <family val="2"/>
          </rPr>
          <t xml:space="preserve">=1,1,1-trifluoro-2-bromoethane
</t>
        </r>
      </text>
    </comment>
    <comment ref="H117" authorId="0">
      <text>
        <r>
          <rPr>
            <sz val="9"/>
            <color indexed="81"/>
            <rFont val="Tahoma"/>
            <family val="2"/>
          </rPr>
          <t xml:space="preserve">See note on CFC-11
</t>
        </r>
      </text>
    </comment>
    <comment ref="J117" authorId="0">
      <text>
        <r>
          <rPr>
            <sz val="9"/>
            <color indexed="81"/>
            <rFont val="Tahoma"/>
            <family val="2"/>
          </rPr>
          <t xml:space="preserve">See notes on CFC11
</t>
        </r>
      </text>
    </comment>
    <comment ref="K117" authorId="0">
      <text>
        <r>
          <rPr>
            <sz val="9"/>
            <color indexed="81"/>
            <rFont val="Tahoma"/>
            <family val="2"/>
          </rPr>
          <t xml:space="preserve">See notes on CFC11
</t>
        </r>
      </text>
    </comment>
    <comment ref="A118" authorId="0">
      <text>
        <r>
          <rPr>
            <sz val="9"/>
            <color indexed="81"/>
            <rFont val="Tahoma"/>
            <family val="2"/>
          </rPr>
          <t>2-Bromo-2-chloro-1,1,1-trifluoroethane, CF3CHBrCl</t>
        </r>
      </text>
    </comment>
    <comment ref="H118" authorId="0">
      <text>
        <r>
          <rPr>
            <sz val="9"/>
            <color indexed="81"/>
            <rFont val="Tahoma"/>
            <family val="2"/>
          </rPr>
          <t xml:space="preserve">See note on CFC-11
</t>
        </r>
      </text>
    </comment>
    <comment ref="J118" authorId="0">
      <text>
        <r>
          <rPr>
            <sz val="9"/>
            <color indexed="81"/>
            <rFont val="Tahoma"/>
            <family val="2"/>
          </rPr>
          <t xml:space="preserve">See notes on CFC11
</t>
        </r>
      </text>
    </comment>
    <comment ref="K118" authorId="0">
      <text>
        <r>
          <rPr>
            <sz val="9"/>
            <color indexed="81"/>
            <rFont val="Tahoma"/>
            <family val="2"/>
          </rPr>
          <t xml:space="preserve">See notes on CFC11
</t>
        </r>
      </text>
    </comment>
    <comment ref="H119" authorId="0">
      <text>
        <r>
          <rPr>
            <sz val="9"/>
            <color indexed="81"/>
            <rFont val="Tahoma"/>
            <family val="2"/>
          </rPr>
          <t xml:space="preserve">See note on CFC-11
</t>
        </r>
      </text>
    </comment>
    <comment ref="J119" authorId="0">
      <text>
        <r>
          <rPr>
            <sz val="9"/>
            <color indexed="81"/>
            <rFont val="Tahoma"/>
            <family val="2"/>
          </rPr>
          <t xml:space="preserve">See notes on CFC11
</t>
        </r>
      </text>
    </comment>
    <comment ref="K119" authorId="0">
      <text>
        <r>
          <rPr>
            <sz val="9"/>
            <color indexed="81"/>
            <rFont val="Tahoma"/>
            <family val="2"/>
          </rPr>
          <t xml:space="preserve">See notes on CFC11
</t>
        </r>
      </text>
    </comment>
    <comment ref="H120" authorId="0">
      <text>
        <r>
          <rPr>
            <sz val="9"/>
            <color indexed="81"/>
            <rFont val="Tahoma"/>
            <family val="2"/>
          </rPr>
          <t xml:space="preserve">See note on CFC-11
</t>
        </r>
      </text>
    </comment>
    <comment ref="J120" authorId="0">
      <text>
        <r>
          <rPr>
            <sz val="9"/>
            <color indexed="81"/>
            <rFont val="Tahoma"/>
            <family val="2"/>
          </rPr>
          <t xml:space="preserve">See notes on CFC11
</t>
        </r>
      </text>
    </comment>
    <comment ref="K120" authorId="0">
      <text>
        <r>
          <rPr>
            <sz val="9"/>
            <color indexed="81"/>
            <rFont val="Tahoma"/>
            <family val="2"/>
          </rPr>
          <t xml:space="preserve">See notes on CFC11
</t>
        </r>
      </text>
    </comment>
    <comment ref="H122" authorId="0">
      <text>
        <r>
          <rPr>
            <sz val="9"/>
            <color indexed="81"/>
            <rFont val="Tahoma"/>
            <family val="2"/>
          </rPr>
          <t xml:space="preserve">See note on CFC-11
</t>
        </r>
      </text>
    </comment>
    <comment ref="J122" authorId="0">
      <text>
        <r>
          <rPr>
            <sz val="9"/>
            <color indexed="81"/>
            <rFont val="Tahoma"/>
            <family val="2"/>
          </rPr>
          <t xml:space="preserve">See notes on CFC11
</t>
        </r>
      </text>
    </comment>
    <comment ref="K122" authorId="0">
      <text>
        <r>
          <rPr>
            <sz val="9"/>
            <color indexed="81"/>
            <rFont val="Tahoma"/>
            <family val="2"/>
          </rPr>
          <t xml:space="preserve">See notes on CFC11
</t>
        </r>
      </text>
    </comment>
    <comment ref="H123" authorId="0">
      <text>
        <r>
          <rPr>
            <sz val="9"/>
            <color indexed="81"/>
            <rFont val="Tahoma"/>
            <family val="2"/>
          </rPr>
          <t xml:space="preserve">See note on CFC-11
</t>
        </r>
      </text>
    </comment>
    <comment ref="J123" authorId="0">
      <text>
        <r>
          <rPr>
            <sz val="9"/>
            <color indexed="81"/>
            <rFont val="Tahoma"/>
            <family val="2"/>
          </rPr>
          <t xml:space="preserve">See notes on CFC11
</t>
        </r>
      </text>
    </comment>
    <comment ref="K123" authorId="0">
      <text>
        <r>
          <rPr>
            <sz val="9"/>
            <color indexed="81"/>
            <rFont val="Tahoma"/>
            <family val="2"/>
          </rPr>
          <t xml:space="preserve">See notes on CFC11
</t>
        </r>
      </text>
    </comment>
    <comment ref="H124" authorId="0">
      <text>
        <r>
          <rPr>
            <sz val="9"/>
            <color indexed="81"/>
            <rFont val="Tahoma"/>
            <family val="2"/>
          </rPr>
          <t xml:space="preserve">See note on CFC-11
</t>
        </r>
      </text>
    </comment>
    <comment ref="J124" authorId="0">
      <text>
        <r>
          <rPr>
            <sz val="9"/>
            <color indexed="81"/>
            <rFont val="Tahoma"/>
            <family val="2"/>
          </rPr>
          <t xml:space="preserve">See notes on CFC11
</t>
        </r>
      </text>
    </comment>
    <comment ref="K124" authorId="0">
      <text>
        <r>
          <rPr>
            <sz val="9"/>
            <color indexed="81"/>
            <rFont val="Tahoma"/>
            <family val="2"/>
          </rPr>
          <t xml:space="preserve">See notes on CFC11
</t>
        </r>
      </text>
    </comment>
    <comment ref="H125" authorId="0">
      <text>
        <r>
          <rPr>
            <sz val="9"/>
            <color indexed="81"/>
            <rFont val="Tahoma"/>
            <family val="2"/>
          </rPr>
          <t xml:space="preserve">See note on CFC-11
</t>
        </r>
      </text>
    </comment>
    <comment ref="J125" authorId="0">
      <text>
        <r>
          <rPr>
            <sz val="9"/>
            <color indexed="81"/>
            <rFont val="Tahoma"/>
            <family val="2"/>
          </rPr>
          <t xml:space="preserve">See notes on CFC11
</t>
        </r>
      </text>
    </comment>
    <comment ref="K125" authorId="0">
      <text>
        <r>
          <rPr>
            <sz val="9"/>
            <color indexed="81"/>
            <rFont val="Tahoma"/>
            <family val="2"/>
          </rPr>
          <t xml:space="preserve">See notes on CFC11
</t>
        </r>
      </text>
    </comment>
    <comment ref="H126" authorId="0">
      <text>
        <r>
          <rPr>
            <sz val="9"/>
            <color indexed="81"/>
            <rFont val="Tahoma"/>
            <family val="2"/>
          </rPr>
          <t xml:space="preserve">See note on CFC-11
</t>
        </r>
      </text>
    </comment>
    <comment ref="J126" authorId="0">
      <text>
        <r>
          <rPr>
            <sz val="9"/>
            <color indexed="81"/>
            <rFont val="Tahoma"/>
            <family val="2"/>
          </rPr>
          <t xml:space="preserve">See notes on CFC11
</t>
        </r>
      </text>
    </comment>
    <comment ref="K126" authorId="0">
      <text>
        <r>
          <rPr>
            <sz val="9"/>
            <color indexed="81"/>
            <rFont val="Tahoma"/>
            <family val="2"/>
          </rPr>
          <t xml:space="preserve">See notes on CFC11
</t>
        </r>
      </text>
    </comment>
    <comment ref="H127" authorId="0">
      <text>
        <r>
          <rPr>
            <sz val="9"/>
            <color indexed="81"/>
            <rFont val="Tahoma"/>
            <family val="2"/>
          </rPr>
          <t xml:space="preserve">See note on CFC-11
</t>
        </r>
      </text>
    </comment>
    <comment ref="J127" authorId="0">
      <text>
        <r>
          <rPr>
            <sz val="9"/>
            <color indexed="81"/>
            <rFont val="Tahoma"/>
            <family val="2"/>
          </rPr>
          <t xml:space="preserve">See notes on CFC11
</t>
        </r>
      </text>
    </comment>
    <comment ref="K127" authorId="0">
      <text>
        <r>
          <rPr>
            <sz val="9"/>
            <color indexed="81"/>
            <rFont val="Tahoma"/>
            <family val="2"/>
          </rPr>
          <t xml:space="preserve">See notes on CFC11
</t>
        </r>
      </text>
    </comment>
    <comment ref="H128" authorId="0">
      <text>
        <r>
          <rPr>
            <sz val="9"/>
            <color indexed="81"/>
            <rFont val="Tahoma"/>
            <family val="2"/>
          </rPr>
          <t xml:space="preserve">See note on CFC-11
</t>
        </r>
      </text>
    </comment>
    <comment ref="J128" authorId="0">
      <text>
        <r>
          <rPr>
            <sz val="9"/>
            <color indexed="81"/>
            <rFont val="Tahoma"/>
            <family val="2"/>
          </rPr>
          <t xml:space="preserve">See notes on CFC11
</t>
        </r>
      </text>
    </comment>
    <comment ref="K128" authorId="0">
      <text>
        <r>
          <rPr>
            <sz val="9"/>
            <color indexed="81"/>
            <rFont val="Tahoma"/>
            <family val="2"/>
          </rPr>
          <t xml:space="preserve">See notes on CFC11
</t>
        </r>
      </text>
    </comment>
    <comment ref="H129" authorId="0">
      <text>
        <r>
          <rPr>
            <sz val="9"/>
            <color indexed="81"/>
            <rFont val="Tahoma"/>
            <family val="2"/>
          </rPr>
          <t xml:space="preserve">See note on CFC-11
</t>
        </r>
      </text>
    </comment>
    <comment ref="J129" authorId="0">
      <text>
        <r>
          <rPr>
            <sz val="9"/>
            <color indexed="81"/>
            <rFont val="Tahoma"/>
            <family val="2"/>
          </rPr>
          <t xml:space="preserve">See notes on CFC11
</t>
        </r>
      </text>
    </comment>
    <comment ref="K129" authorId="0">
      <text>
        <r>
          <rPr>
            <sz val="9"/>
            <color indexed="81"/>
            <rFont val="Tahoma"/>
            <family val="2"/>
          </rPr>
          <t xml:space="preserve">See notes on CFC11
</t>
        </r>
      </text>
    </comment>
    <comment ref="H130" authorId="0">
      <text>
        <r>
          <rPr>
            <sz val="9"/>
            <color indexed="81"/>
            <rFont val="Tahoma"/>
            <family val="2"/>
          </rPr>
          <t xml:space="preserve">See note on CFC-11
</t>
        </r>
      </text>
    </comment>
    <comment ref="J130" authorId="0">
      <text>
        <r>
          <rPr>
            <sz val="9"/>
            <color indexed="81"/>
            <rFont val="Tahoma"/>
            <family val="2"/>
          </rPr>
          <t xml:space="preserve">See notes on CFC11
</t>
        </r>
      </text>
    </comment>
    <comment ref="K130" authorId="0">
      <text>
        <r>
          <rPr>
            <sz val="9"/>
            <color indexed="81"/>
            <rFont val="Tahoma"/>
            <family val="2"/>
          </rPr>
          <t xml:space="preserve">See notes on CFC11
</t>
        </r>
      </text>
    </comment>
    <comment ref="H131" authorId="0">
      <text>
        <r>
          <rPr>
            <sz val="9"/>
            <color indexed="81"/>
            <rFont val="Tahoma"/>
            <family val="2"/>
          </rPr>
          <t xml:space="preserve">See note on CFC-11
</t>
        </r>
      </text>
    </comment>
    <comment ref="J131" authorId="0">
      <text>
        <r>
          <rPr>
            <sz val="9"/>
            <color indexed="81"/>
            <rFont val="Tahoma"/>
            <family val="2"/>
          </rPr>
          <t xml:space="preserve">See notes on CFC11
</t>
        </r>
      </text>
    </comment>
    <comment ref="K131" authorId="0">
      <text>
        <r>
          <rPr>
            <sz val="9"/>
            <color indexed="81"/>
            <rFont val="Tahoma"/>
            <family val="2"/>
          </rPr>
          <t xml:space="preserve">See notes on CFC11
</t>
        </r>
      </text>
    </comment>
    <comment ref="H132" authorId="0">
      <text>
        <r>
          <rPr>
            <sz val="9"/>
            <color indexed="81"/>
            <rFont val="Tahoma"/>
            <family val="2"/>
          </rPr>
          <t xml:space="preserve">See note on CFC-11
</t>
        </r>
      </text>
    </comment>
    <comment ref="J132" authorId="0">
      <text>
        <r>
          <rPr>
            <sz val="9"/>
            <color indexed="81"/>
            <rFont val="Tahoma"/>
            <family val="2"/>
          </rPr>
          <t xml:space="preserve">See notes on CFC11
</t>
        </r>
      </text>
    </comment>
    <comment ref="K132" authorId="0">
      <text>
        <r>
          <rPr>
            <sz val="9"/>
            <color indexed="81"/>
            <rFont val="Tahoma"/>
            <family val="2"/>
          </rPr>
          <t xml:space="preserve">See notes on CFC11
</t>
        </r>
      </text>
    </comment>
    <comment ref="H133" authorId="0">
      <text>
        <r>
          <rPr>
            <sz val="9"/>
            <color indexed="81"/>
            <rFont val="Tahoma"/>
            <family val="2"/>
          </rPr>
          <t xml:space="preserve">See note on CFC-11
</t>
        </r>
      </text>
    </comment>
    <comment ref="J133" authorId="0">
      <text>
        <r>
          <rPr>
            <sz val="9"/>
            <color indexed="81"/>
            <rFont val="Tahoma"/>
            <family val="2"/>
          </rPr>
          <t xml:space="preserve">See notes on CFC11
</t>
        </r>
      </text>
    </comment>
    <comment ref="K133" authorId="0">
      <text>
        <r>
          <rPr>
            <sz val="9"/>
            <color indexed="81"/>
            <rFont val="Tahoma"/>
            <family val="2"/>
          </rPr>
          <t xml:space="preserve">See notes on CFC11
</t>
        </r>
      </text>
    </comment>
    <comment ref="H134" authorId="0">
      <text>
        <r>
          <rPr>
            <sz val="9"/>
            <color indexed="81"/>
            <rFont val="Tahoma"/>
            <family val="2"/>
          </rPr>
          <t xml:space="preserve">See note on CFC-11
</t>
        </r>
      </text>
    </comment>
    <comment ref="J134" authorId="0">
      <text>
        <r>
          <rPr>
            <sz val="9"/>
            <color indexed="81"/>
            <rFont val="Tahoma"/>
            <family val="2"/>
          </rPr>
          <t xml:space="preserve">See notes on CFC11
</t>
        </r>
      </text>
    </comment>
    <comment ref="K134" authorId="0">
      <text>
        <r>
          <rPr>
            <sz val="9"/>
            <color indexed="81"/>
            <rFont val="Tahoma"/>
            <family val="2"/>
          </rPr>
          <t xml:space="preserve">See notes on CFC11
</t>
        </r>
      </text>
    </comment>
    <comment ref="H135" authorId="0">
      <text>
        <r>
          <rPr>
            <sz val="9"/>
            <color indexed="81"/>
            <rFont val="Tahoma"/>
            <family val="2"/>
          </rPr>
          <t xml:space="preserve">See note on CFC-11
</t>
        </r>
      </text>
    </comment>
    <comment ref="J135" authorId="0">
      <text>
        <r>
          <rPr>
            <sz val="9"/>
            <color indexed="81"/>
            <rFont val="Tahoma"/>
            <family val="2"/>
          </rPr>
          <t xml:space="preserve">See notes on CFC11
</t>
        </r>
      </text>
    </comment>
    <comment ref="K135" authorId="0">
      <text>
        <r>
          <rPr>
            <sz val="9"/>
            <color indexed="81"/>
            <rFont val="Tahoma"/>
            <family val="2"/>
          </rPr>
          <t xml:space="preserve">See notes on CFC11
</t>
        </r>
      </text>
    </comment>
    <comment ref="H136" authorId="0">
      <text>
        <r>
          <rPr>
            <sz val="9"/>
            <color indexed="81"/>
            <rFont val="Tahoma"/>
            <family val="2"/>
          </rPr>
          <t xml:space="preserve">See note on CFC-11
</t>
        </r>
      </text>
    </comment>
    <comment ref="J136" authorId="0">
      <text>
        <r>
          <rPr>
            <sz val="9"/>
            <color indexed="81"/>
            <rFont val="Tahoma"/>
            <family val="2"/>
          </rPr>
          <t xml:space="preserve">See notes on CFC11
</t>
        </r>
      </text>
    </comment>
    <comment ref="K136" authorId="0">
      <text>
        <r>
          <rPr>
            <sz val="9"/>
            <color indexed="81"/>
            <rFont val="Tahoma"/>
            <family val="2"/>
          </rPr>
          <t xml:space="preserve">See notes on CFC11
</t>
        </r>
      </text>
    </comment>
    <comment ref="H137" authorId="0">
      <text>
        <r>
          <rPr>
            <sz val="9"/>
            <color indexed="81"/>
            <rFont val="Tahoma"/>
            <family val="2"/>
          </rPr>
          <t xml:space="preserve">See note on CFC-11
</t>
        </r>
      </text>
    </comment>
    <comment ref="J137" authorId="0">
      <text>
        <r>
          <rPr>
            <sz val="9"/>
            <color indexed="81"/>
            <rFont val="Tahoma"/>
            <family val="2"/>
          </rPr>
          <t xml:space="preserve">See notes on CFC11
</t>
        </r>
      </text>
    </comment>
    <comment ref="K137" authorId="0">
      <text>
        <r>
          <rPr>
            <sz val="9"/>
            <color indexed="81"/>
            <rFont val="Tahoma"/>
            <family val="2"/>
          </rPr>
          <t xml:space="preserve">See notes on CFC11
</t>
        </r>
      </text>
    </comment>
    <comment ref="H138" authorId="0">
      <text>
        <r>
          <rPr>
            <sz val="9"/>
            <color indexed="81"/>
            <rFont val="Tahoma"/>
            <family val="2"/>
          </rPr>
          <t xml:space="preserve">See note on CFC-11
</t>
        </r>
      </text>
    </comment>
    <comment ref="J138" authorId="0">
      <text>
        <r>
          <rPr>
            <sz val="9"/>
            <color indexed="81"/>
            <rFont val="Tahoma"/>
            <family val="2"/>
          </rPr>
          <t xml:space="preserve">See notes on CFC11
</t>
        </r>
      </text>
    </comment>
    <comment ref="K138" authorId="0">
      <text>
        <r>
          <rPr>
            <sz val="9"/>
            <color indexed="81"/>
            <rFont val="Tahoma"/>
            <family val="2"/>
          </rPr>
          <t xml:space="preserve">See notes on CFC11
</t>
        </r>
      </text>
    </comment>
    <comment ref="H139" authorId="0">
      <text>
        <r>
          <rPr>
            <sz val="9"/>
            <color indexed="81"/>
            <rFont val="Tahoma"/>
            <family val="2"/>
          </rPr>
          <t xml:space="preserve">See note on CFC-11
</t>
        </r>
      </text>
    </comment>
    <comment ref="J139" authorId="0">
      <text>
        <r>
          <rPr>
            <sz val="9"/>
            <color indexed="81"/>
            <rFont val="Tahoma"/>
            <family val="2"/>
          </rPr>
          <t xml:space="preserve">See notes on CFC11
</t>
        </r>
      </text>
    </comment>
    <comment ref="K139" authorId="0">
      <text>
        <r>
          <rPr>
            <sz val="9"/>
            <color indexed="81"/>
            <rFont val="Tahoma"/>
            <family val="2"/>
          </rPr>
          <t xml:space="preserve">See notes on CFC11
</t>
        </r>
      </text>
    </comment>
    <comment ref="H140" authorId="0">
      <text>
        <r>
          <rPr>
            <sz val="9"/>
            <color indexed="81"/>
            <rFont val="Tahoma"/>
            <family val="2"/>
          </rPr>
          <t xml:space="preserve">See note on CFC-11
</t>
        </r>
      </text>
    </comment>
    <comment ref="J140" authorId="0">
      <text>
        <r>
          <rPr>
            <sz val="9"/>
            <color indexed="81"/>
            <rFont val="Tahoma"/>
            <family val="2"/>
          </rPr>
          <t xml:space="preserve">See notes on CFC11
</t>
        </r>
      </text>
    </comment>
    <comment ref="K140" authorId="0">
      <text>
        <r>
          <rPr>
            <sz val="9"/>
            <color indexed="81"/>
            <rFont val="Tahoma"/>
            <family val="2"/>
          </rPr>
          <t xml:space="preserve">See notes on CFC11
</t>
        </r>
      </text>
    </comment>
    <comment ref="H141" authorId="0">
      <text>
        <r>
          <rPr>
            <sz val="9"/>
            <color indexed="81"/>
            <rFont val="Tahoma"/>
            <family val="2"/>
          </rPr>
          <t xml:space="preserve">See note on CFC-11
</t>
        </r>
      </text>
    </comment>
    <comment ref="J141" authorId="0">
      <text>
        <r>
          <rPr>
            <sz val="9"/>
            <color indexed="81"/>
            <rFont val="Tahoma"/>
            <family val="2"/>
          </rPr>
          <t xml:space="preserve">See notes on CFC11
</t>
        </r>
      </text>
    </comment>
    <comment ref="K141" authorId="0">
      <text>
        <r>
          <rPr>
            <sz val="9"/>
            <color indexed="81"/>
            <rFont val="Tahoma"/>
            <family val="2"/>
          </rPr>
          <t xml:space="preserve">See notes on CFC11
</t>
        </r>
      </text>
    </comment>
    <comment ref="H142" authorId="0">
      <text>
        <r>
          <rPr>
            <sz val="9"/>
            <color indexed="81"/>
            <rFont val="Tahoma"/>
            <family val="2"/>
          </rPr>
          <t xml:space="preserve">See note on CFC-11
</t>
        </r>
      </text>
    </comment>
    <comment ref="J142" authorId="0">
      <text>
        <r>
          <rPr>
            <sz val="9"/>
            <color indexed="81"/>
            <rFont val="Tahoma"/>
            <family val="2"/>
          </rPr>
          <t xml:space="preserve">See notes on CFC11
</t>
        </r>
      </text>
    </comment>
    <comment ref="K142" authorId="0">
      <text>
        <r>
          <rPr>
            <sz val="9"/>
            <color indexed="81"/>
            <rFont val="Tahoma"/>
            <family val="2"/>
          </rPr>
          <t xml:space="preserve">See notes on CFC11
</t>
        </r>
      </text>
    </comment>
    <comment ref="H143" authorId="0">
      <text>
        <r>
          <rPr>
            <sz val="9"/>
            <color indexed="81"/>
            <rFont val="Tahoma"/>
            <family val="2"/>
          </rPr>
          <t xml:space="preserve">See note on CFC-11
</t>
        </r>
      </text>
    </comment>
    <comment ref="J143" authorId="0">
      <text>
        <r>
          <rPr>
            <sz val="9"/>
            <color indexed="81"/>
            <rFont val="Tahoma"/>
            <family val="2"/>
          </rPr>
          <t xml:space="preserve">See notes on CFC11
</t>
        </r>
      </text>
    </comment>
    <comment ref="K143" authorId="0">
      <text>
        <r>
          <rPr>
            <sz val="9"/>
            <color indexed="81"/>
            <rFont val="Tahoma"/>
            <family val="2"/>
          </rPr>
          <t xml:space="preserve">See notes on CFC11
</t>
        </r>
      </text>
    </comment>
    <comment ref="H144" authorId="0">
      <text>
        <r>
          <rPr>
            <sz val="9"/>
            <color indexed="81"/>
            <rFont val="Tahoma"/>
            <family val="2"/>
          </rPr>
          <t xml:space="preserve">See note on CFC-11
</t>
        </r>
      </text>
    </comment>
    <comment ref="J144" authorId="0">
      <text>
        <r>
          <rPr>
            <sz val="9"/>
            <color indexed="81"/>
            <rFont val="Tahoma"/>
            <family val="2"/>
          </rPr>
          <t xml:space="preserve">See notes on CFC11
</t>
        </r>
      </text>
    </comment>
    <comment ref="K144" authorId="0">
      <text>
        <r>
          <rPr>
            <sz val="9"/>
            <color indexed="81"/>
            <rFont val="Tahoma"/>
            <family val="2"/>
          </rPr>
          <t xml:space="preserve">See notes on CFC11
</t>
        </r>
      </text>
    </comment>
    <comment ref="H145" authorId="0">
      <text>
        <r>
          <rPr>
            <sz val="9"/>
            <color indexed="81"/>
            <rFont val="Tahoma"/>
            <family val="2"/>
          </rPr>
          <t xml:space="preserve">See note on CFC-11
</t>
        </r>
      </text>
    </comment>
    <comment ref="J145" authorId="0">
      <text>
        <r>
          <rPr>
            <sz val="9"/>
            <color indexed="81"/>
            <rFont val="Tahoma"/>
            <family val="2"/>
          </rPr>
          <t xml:space="preserve">See notes on CFC11
</t>
        </r>
      </text>
    </comment>
    <comment ref="K145" authorId="0">
      <text>
        <r>
          <rPr>
            <sz val="9"/>
            <color indexed="81"/>
            <rFont val="Tahoma"/>
            <family val="2"/>
          </rPr>
          <t xml:space="preserve">See notes on CFC11
</t>
        </r>
      </text>
    </comment>
    <comment ref="H146" authorId="0">
      <text>
        <r>
          <rPr>
            <sz val="9"/>
            <color indexed="81"/>
            <rFont val="Tahoma"/>
            <family val="2"/>
          </rPr>
          <t xml:space="preserve">See note on CFC-11
</t>
        </r>
      </text>
    </comment>
    <comment ref="J146" authorId="0">
      <text>
        <r>
          <rPr>
            <sz val="9"/>
            <color indexed="81"/>
            <rFont val="Tahoma"/>
            <family val="2"/>
          </rPr>
          <t xml:space="preserve">See notes on CFC11
</t>
        </r>
      </text>
    </comment>
    <comment ref="K146" authorId="0">
      <text>
        <r>
          <rPr>
            <sz val="9"/>
            <color indexed="81"/>
            <rFont val="Tahoma"/>
            <family val="2"/>
          </rPr>
          <t xml:space="preserve">See notes on CFC11
</t>
        </r>
      </text>
    </comment>
    <comment ref="H147" authorId="0">
      <text>
        <r>
          <rPr>
            <sz val="9"/>
            <color indexed="81"/>
            <rFont val="Tahoma"/>
            <family val="2"/>
          </rPr>
          <t xml:space="preserve">See note on CFC-11
</t>
        </r>
      </text>
    </comment>
    <comment ref="J147" authorId="0">
      <text>
        <r>
          <rPr>
            <sz val="9"/>
            <color indexed="81"/>
            <rFont val="Tahoma"/>
            <family val="2"/>
          </rPr>
          <t xml:space="preserve">See notes on CFC11
</t>
        </r>
      </text>
    </comment>
    <comment ref="K147" authorId="0">
      <text>
        <r>
          <rPr>
            <sz val="9"/>
            <color indexed="81"/>
            <rFont val="Tahoma"/>
            <family val="2"/>
          </rPr>
          <t xml:space="preserve">See notes on CFC11
</t>
        </r>
      </text>
    </comment>
    <comment ref="H148" authorId="0">
      <text>
        <r>
          <rPr>
            <sz val="9"/>
            <color indexed="81"/>
            <rFont val="Tahoma"/>
            <family val="2"/>
          </rPr>
          <t xml:space="preserve">See note on CFC-11
</t>
        </r>
      </text>
    </comment>
    <comment ref="J148" authorId="0">
      <text>
        <r>
          <rPr>
            <sz val="9"/>
            <color indexed="81"/>
            <rFont val="Tahoma"/>
            <family val="2"/>
          </rPr>
          <t xml:space="preserve">See notes on CFC11
</t>
        </r>
      </text>
    </comment>
    <comment ref="K148" authorId="0">
      <text>
        <r>
          <rPr>
            <sz val="9"/>
            <color indexed="81"/>
            <rFont val="Tahoma"/>
            <family val="2"/>
          </rPr>
          <t xml:space="preserve">See notes on CFC11
</t>
        </r>
      </text>
    </comment>
    <comment ref="H149" authorId="0">
      <text>
        <r>
          <rPr>
            <sz val="9"/>
            <color indexed="81"/>
            <rFont val="Tahoma"/>
            <family val="2"/>
          </rPr>
          <t xml:space="preserve">See note on CFC-11
</t>
        </r>
      </text>
    </comment>
    <comment ref="J149" authorId="0">
      <text>
        <r>
          <rPr>
            <sz val="9"/>
            <color indexed="81"/>
            <rFont val="Tahoma"/>
            <family val="2"/>
          </rPr>
          <t xml:space="preserve">See notes on CFC11
</t>
        </r>
      </text>
    </comment>
    <comment ref="K149" authorId="0">
      <text>
        <r>
          <rPr>
            <sz val="9"/>
            <color indexed="81"/>
            <rFont val="Tahoma"/>
            <family val="2"/>
          </rPr>
          <t xml:space="preserve">See notes on CFC11
</t>
        </r>
      </text>
    </comment>
    <comment ref="H150" authorId="0">
      <text>
        <r>
          <rPr>
            <sz val="9"/>
            <color indexed="81"/>
            <rFont val="Tahoma"/>
            <family val="2"/>
          </rPr>
          <t xml:space="preserve">See note on CFC-11
</t>
        </r>
      </text>
    </comment>
    <comment ref="J150" authorId="0">
      <text>
        <r>
          <rPr>
            <sz val="9"/>
            <color indexed="81"/>
            <rFont val="Tahoma"/>
            <family val="2"/>
          </rPr>
          <t xml:space="preserve">See notes on CFC11
</t>
        </r>
      </text>
    </comment>
    <comment ref="K150" authorId="0">
      <text>
        <r>
          <rPr>
            <sz val="9"/>
            <color indexed="81"/>
            <rFont val="Tahoma"/>
            <family val="2"/>
          </rPr>
          <t xml:space="preserve">See notes on CFC11
</t>
        </r>
      </text>
    </comment>
    <comment ref="H151" authorId="0">
      <text>
        <r>
          <rPr>
            <sz val="9"/>
            <color indexed="81"/>
            <rFont val="Tahoma"/>
            <family val="2"/>
          </rPr>
          <t xml:space="preserve">See note on CFC-11
</t>
        </r>
      </text>
    </comment>
    <comment ref="J151" authorId="0">
      <text>
        <r>
          <rPr>
            <sz val="9"/>
            <color indexed="81"/>
            <rFont val="Tahoma"/>
            <family val="2"/>
          </rPr>
          <t xml:space="preserve">See notes on CFC11
</t>
        </r>
      </text>
    </comment>
    <comment ref="K151" authorId="0">
      <text>
        <r>
          <rPr>
            <sz val="9"/>
            <color indexed="81"/>
            <rFont val="Tahoma"/>
            <family val="2"/>
          </rPr>
          <t xml:space="preserve">See notes on CFC11
</t>
        </r>
      </text>
    </comment>
    <comment ref="H152" authorId="0">
      <text>
        <r>
          <rPr>
            <sz val="9"/>
            <color indexed="81"/>
            <rFont val="Tahoma"/>
            <family val="2"/>
          </rPr>
          <t xml:space="preserve">See note on CFC-11
</t>
        </r>
      </text>
    </comment>
    <comment ref="J152" authorId="0">
      <text>
        <r>
          <rPr>
            <sz val="9"/>
            <color indexed="81"/>
            <rFont val="Tahoma"/>
            <family val="2"/>
          </rPr>
          <t xml:space="preserve">See notes on CFC11
</t>
        </r>
      </text>
    </comment>
    <comment ref="K152" authorId="0">
      <text>
        <r>
          <rPr>
            <sz val="9"/>
            <color indexed="81"/>
            <rFont val="Tahoma"/>
            <family val="2"/>
          </rPr>
          <t xml:space="preserve">See notes on CFC11
</t>
        </r>
      </text>
    </comment>
    <comment ref="H153" authorId="0">
      <text>
        <r>
          <rPr>
            <sz val="9"/>
            <color indexed="81"/>
            <rFont val="Tahoma"/>
            <family val="2"/>
          </rPr>
          <t xml:space="preserve">See note on CFC-11
</t>
        </r>
      </text>
    </comment>
    <comment ref="J153" authorId="0">
      <text>
        <r>
          <rPr>
            <sz val="9"/>
            <color indexed="81"/>
            <rFont val="Tahoma"/>
            <family val="2"/>
          </rPr>
          <t xml:space="preserve">See notes on CFC11
</t>
        </r>
      </text>
    </comment>
    <comment ref="K153" authorId="0">
      <text>
        <r>
          <rPr>
            <sz val="9"/>
            <color indexed="81"/>
            <rFont val="Tahoma"/>
            <family val="2"/>
          </rPr>
          <t xml:space="preserve">See notes on CFC11
</t>
        </r>
      </text>
    </comment>
    <comment ref="H154" authorId="0">
      <text>
        <r>
          <rPr>
            <sz val="9"/>
            <color indexed="81"/>
            <rFont val="Tahoma"/>
            <family val="2"/>
          </rPr>
          <t xml:space="preserve">See note on CFC-11
</t>
        </r>
      </text>
    </comment>
    <comment ref="J154" authorId="0">
      <text>
        <r>
          <rPr>
            <sz val="9"/>
            <color indexed="81"/>
            <rFont val="Tahoma"/>
            <family val="2"/>
          </rPr>
          <t xml:space="preserve">See notes on CFC11
</t>
        </r>
      </text>
    </comment>
    <comment ref="K154" authorId="0">
      <text>
        <r>
          <rPr>
            <sz val="9"/>
            <color indexed="81"/>
            <rFont val="Tahoma"/>
            <family val="2"/>
          </rPr>
          <t xml:space="preserve">See notes on CFC11
</t>
        </r>
      </text>
    </comment>
    <comment ref="H155" authorId="0">
      <text>
        <r>
          <rPr>
            <sz val="9"/>
            <color indexed="81"/>
            <rFont val="Tahoma"/>
            <family val="2"/>
          </rPr>
          <t xml:space="preserve">See note on CFC-11
</t>
        </r>
      </text>
    </comment>
    <comment ref="J155" authorId="0">
      <text>
        <r>
          <rPr>
            <sz val="9"/>
            <color indexed="81"/>
            <rFont val="Tahoma"/>
            <family val="2"/>
          </rPr>
          <t xml:space="preserve">See notes on CFC11
</t>
        </r>
      </text>
    </comment>
    <comment ref="K155" authorId="0">
      <text>
        <r>
          <rPr>
            <sz val="9"/>
            <color indexed="81"/>
            <rFont val="Tahoma"/>
            <family val="2"/>
          </rPr>
          <t xml:space="preserve">See notes on CFC11
</t>
        </r>
      </text>
    </comment>
    <comment ref="H156" authorId="0">
      <text>
        <r>
          <rPr>
            <sz val="9"/>
            <color indexed="81"/>
            <rFont val="Tahoma"/>
            <family val="2"/>
          </rPr>
          <t xml:space="preserve">See note on CFC-11
</t>
        </r>
      </text>
    </comment>
    <comment ref="J156" authorId="0">
      <text>
        <r>
          <rPr>
            <sz val="9"/>
            <color indexed="81"/>
            <rFont val="Tahoma"/>
            <family val="2"/>
          </rPr>
          <t xml:space="preserve">See notes on CFC11
</t>
        </r>
      </text>
    </comment>
    <comment ref="K156" authorId="0">
      <text>
        <r>
          <rPr>
            <sz val="9"/>
            <color indexed="81"/>
            <rFont val="Tahoma"/>
            <family val="2"/>
          </rPr>
          <t xml:space="preserve">See notes on CFC11
</t>
        </r>
      </text>
    </comment>
    <comment ref="H157" authorId="0">
      <text>
        <r>
          <rPr>
            <sz val="9"/>
            <color indexed="81"/>
            <rFont val="Tahoma"/>
            <family val="2"/>
          </rPr>
          <t xml:space="preserve">See note on CFC-11
</t>
        </r>
      </text>
    </comment>
    <comment ref="J157" authorId="0">
      <text>
        <r>
          <rPr>
            <sz val="9"/>
            <color indexed="81"/>
            <rFont val="Tahoma"/>
            <family val="2"/>
          </rPr>
          <t xml:space="preserve">See notes on CFC11
</t>
        </r>
      </text>
    </comment>
    <comment ref="K157" authorId="0">
      <text>
        <r>
          <rPr>
            <sz val="9"/>
            <color indexed="81"/>
            <rFont val="Tahoma"/>
            <family val="2"/>
          </rPr>
          <t xml:space="preserve">See notes on CFC11
</t>
        </r>
      </text>
    </comment>
    <comment ref="H158" authorId="0">
      <text>
        <r>
          <rPr>
            <sz val="9"/>
            <color indexed="81"/>
            <rFont val="Tahoma"/>
            <family val="2"/>
          </rPr>
          <t xml:space="preserve">See note on CFC-11
</t>
        </r>
      </text>
    </comment>
    <comment ref="J158" authorId="0">
      <text>
        <r>
          <rPr>
            <sz val="9"/>
            <color indexed="81"/>
            <rFont val="Tahoma"/>
            <family val="2"/>
          </rPr>
          <t xml:space="preserve">See notes on CFC11
</t>
        </r>
      </text>
    </comment>
    <comment ref="K158" authorId="0">
      <text>
        <r>
          <rPr>
            <sz val="9"/>
            <color indexed="81"/>
            <rFont val="Tahoma"/>
            <family val="2"/>
          </rPr>
          <t xml:space="preserve">See notes on CFC11
</t>
        </r>
      </text>
    </comment>
    <comment ref="H159" authorId="0">
      <text>
        <r>
          <rPr>
            <sz val="9"/>
            <color indexed="81"/>
            <rFont val="Tahoma"/>
            <family val="2"/>
          </rPr>
          <t xml:space="preserve">See note on CFC-11
</t>
        </r>
      </text>
    </comment>
    <comment ref="J159" authorId="0">
      <text>
        <r>
          <rPr>
            <sz val="9"/>
            <color indexed="81"/>
            <rFont val="Tahoma"/>
            <family val="2"/>
          </rPr>
          <t xml:space="preserve">See notes on CFC11
</t>
        </r>
      </text>
    </comment>
    <comment ref="K159" authorId="0">
      <text>
        <r>
          <rPr>
            <sz val="9"/>
            <color indexed="81"/>
            <rFont val="Tahoma"/>
            <family val="2"/>
          </rPr>
          <t xml:space="preserve">See notes on CFC11
</t>
        </r>
      </text>
    </comment>
    <comment ref="H160" authorId="0">
      <text>
        <r>
          <rPr>
            <sz val="9"/>
            <color indexed="81"/>
            <rFont val="Tahoma"/>
            <family val="2"/>
          </rPr>
          <t xml:space="preserve">See note on CFC-11
</t>
        </r>
      </text>
    </comment>
    <comment ref="J160" authorId="0">
      <text>
        <r>
          <rPr>
            <sz val="9"/>
            <color indexed="81"/>
            <rFont val="Tahoma"/>
            <family val="2"/>
          </rPr>
          <t xml:space="preserve">See notes on CFC11
</t>
        </r>
      </text>
    </comment>
    <comment ref="K160" authorId="0">
      <text>
        <r>
          <rPr>
            <sz val="9"/>
            <color indexed="81"/>
            <rFont val="Tahoma"/>
            <family val="2"/>
          </rPr>
          <t xml:space="preserve">See notes on CFC11
</t>
        </r>
      </text>
    </comment>
    <comment ref="H161" authorId="0">
      <text>
        <r>
          <rPr>
            <sz val="9"/>
            <color indexed="81"/>
            <rFont val="Tahoma"/>
            <family val="2"/>
          </rPr>
          <t xml:space="preserve">See note on CFC-11
</t>
        </r>
      </text>
    </comment>
    <comment ref="J161" authorId="0">
      <text>
        <r>
          <rPr>
            <sz val="9"/>
            <color indexed="81"/>
            <rFont val="Tahoma"/>
            <family val="2"/>
          </rPr>
          <t xml:space="preserve">See notes on CFC11
</t>
        </r>
      </text>
    </comment>
    <comment ref="K161" authorId="0">
      <text>
        <r>
          <rPr>
            <sz val="9"/>
            <color indexed="81"/>
            <rFont val="Tahoma"/>
            <family val="2"/>
          </rPr>
          <t xml:space="preserve">See notes on CFC11
</t>
        </r>
      </text>
    </comment>
    <comment ref="H162" authorId="0">
      <text>
        <r>
          <rPr>
            <sz val="9"/>
            <color indexed="81"/>
            <rFont val="Tahoma"/>
            <family val="2"/>
          </rPr>
          <t xml:space="preserve">See note on CFC-11
</t>
        </r>
      </text>
    </comment>
    <comment ref="J162" authorId="0">
      <text>
        <r>
          <rPr>
            <sz val="9"/>
            <color indexed="81"/>
            <rFont val="Tahoma"/>
            <family val="2"/>
          </rPr>
          <t xml:space="preserve">See notes on CFC11
</t>
        </r>
      </text>
    </comment>
    <comment ref="K162" authorId="0">
      <text>
        <r>
          <rPr>
            <sz val="9"/>
            <color indexed="81"/>
            <rFont val="Tahoma"/>
            <family val="2"/>
          </rPr>
          <t xml:space="preserve">See notes on CFC11
</t>
        </r>
      </text>
    </comment>
    <comment ref="H163" authorId="0">
      <text>
        <r>
          <rPr>
            <sz val="9"/>
            <color indexed="81"/>
            <rFont val="Tahoma"/>
            <family val="2"/>
          </rPr>
          <t xml:space="preserve">See note on CFC-11
</t>
        </r>
      </text>
    </comment>
    <comment ref="J163" authorId="0">
      <text>
        <r>
          <rPr>
            <sz val="9"/>
            <color indexed="81"/>
            <rFont val="Tahoma"/>
            <family val="2"/>
          </rPr>
          <t xml:space="preserve">See notes on CFC11
</t>
        </r>
      </text>
    </comment>
    <comment ref="K163" authorId="0">
      <text>
        <r>
          <rPr>
            <sz val="9"/>
            <color indexed="81"/>
            <rFont val="Tahoma"/>
            <family val="2"/>
          </rPr>
          <t xml:space="preserve">See notes on CFC11
</t>
        </r>
      </text>
    </comment>
    <comment ref="H164" authorId="0">
      <text>
        <r>
          <rPr>
            <sz val="9"/>
            <color indexed="81"/>
            <rFont val="Tahoma"/>
            <family val="2"/>
          </rPr>
          <t xml:space="preserve">See note on CFC-11
</t>
        </r>
      </text>
    </comment>
    <comment ref="J164" authorId="0">
      <text>
        <r>
          <rPr>
            <sz val="9"/>
            <color indexed="81"/>
            <rFont val="Tahoma"/>
            <family val="2"/>
          </rPr>
          <t xml:space="preserve">See notes on CFC11
</t>
        </r>
      </text>
    </comment>
    <comment ref="K164" authorId="0">
      <text>
        <r>
          <rPr>
            <sz val="9"/>
            <color indexed="81"/>
            <rFont val="Tahoma"/>
            <family val="2"/>
          </rPr>
          <t xml:space="preserve">See notes on CFC11
</t>
        </r>
      </text>
    </comment>
    <comment ref="H165" authorId="0">
      <text>
        <r>
          <rPr>
            <sz val="9"/>
            <color indexed="81"/>
            <rFont val="Tahoma"/>
            <family val="2"/>
          </rPr>
          <t xml:space="preserve">See note on CFC-11
</t>
        </r>
      </text>
    </comment>
    <comment ref="J165" authorId="0">
      <text>
        <r>
          <rPr>
            <sz val="9"/>
            <color indexed="81"/>
            <rFont val="Tahoma"/>
            <family val="2"/>
          </rPr>
          <t xml:space="preserve">See notes on CFC11
</t>
        </r>
      </text>
    </comment>
    <comment ref="K165" authorId="0">
      <text>
        <r>
          <rPr>
            <sz val="9"/>
            <color indexed="81"/>
            <rFont val="Tahoma"/>
            <family val="2"/>
          </rPr>
          <t xml:space="preserve">See notes on CFC11
</t>
        </r>
      </text>
    </comment>
    <comment ref="H166" authorId="0">
      <text>
        <r>
          <rPr>
            <sz val="9"/>
            <color indexed="81"/>
            <rFont val="Tahoma"/>
            <family val="2"/>
          </rPr>
          <t xml:space="preserve">See note on CFC-11
</t>
        </r>
      </text>
    </comment>
    <comment ref="J166" authorId="0">
      <text>
        <r>
          <rPr>
            <sz val="9"/>
            <color indexed="81"/>
            <rFont val="Tahoma"/>
            <family val="2"/>
          </rPr>
          <t xml:space="preserve">See notes on CFC11
</t>
        </r>
      </text>
    </comment>
    <comment ref="K166" authorId="0">
      <text>
        <r>
          <rPr>
            <sz val="9"/>
            <color indexed="81"/>
            <rFont val="Tahoma"/>
            <family val="2"/>
          </rPr>
          <t xml:space="preserve">See notes on CFC11
</t>
        </r>
      </text>
    </comment>
    <comment ref="H167" authorId="0">
      <text>
        <r>
          <rPr>
            <sz val="9"/>
            <color indexed="81"/>
            <rFont val="Tahoma"/>
            <family val="2"/>
          </rPr>
          <t xml:space="preserve">See note on CFC-11
</t>
        </r>
      </text>
    </comment>
    <comment ref="J167" authorId="0">
      <text>
        <r>
          <rPr>
            <sz val="9"/>
            <color indexed="81"/>
            <rFont val="Tahoma"/>
            <family val="2"/>
          </rPr>
          <t xml:space="preserve">See notes on CFC11
</t>
        </r>
      </text>
    </comment>
    <comment ref="K167" authorId="0">
      <text>
        <r>
          <rPr>
            <sz val="9"/>
            <color indexed="81"/>
            <rFont val="Tahoma"/>
            <family val="2"/>
          </rPr>
          <t xml:space="preserve">See notes on CFC11
</t>
        </r>
      </text>
    </comment>
    <comment ref="H168" authorId="0">
      <text>
        <r>
          <rPr>
            <sz val="9"/>
            <color indexed="81"/>
            <rFont val="Tahoma"/>
            <family val="2"/>
          </rPr>
          <t xml:space="preserve">See note on CFC-11
</t>
        </r>
      </text>
    </comment>
    <comment ref="J168" authorId="0">
      <text>
        <r>
          <rPr>
            <sz val="9"/>
            <color indexed="81"/>
            <rFont val="Tahoma"/>
            <family val="2"/>
          </rPr>
          <t xml:space="preserve">See notes on CFC11
</t>
        </r>
      </text>
    </comment>
    <comment ref="K168" authorId="0">
      <text>
        <r>
          <rPr>
            <sz val="9"/>
            <color indexed="81"/>
            <rFont val="Tahoma"/>
            <family val="2"/>
          </rPr>
          <t xml:space="preserve">See notes on CFC11
</t>
        </r>
      </text>
    </comment>
    <comment ref="H169" authorId="0">
      <text>
        <r>
          <rPr>
            <sz val="9"/>
            <color indexed="81"/>
            <rFont val="Tahoma"/>
            <family val="2"/>
          </rPr>
          <t xml:space="preserve">See note on CFC-11
</t>
        </r>
      </text>
    </comment>
    <comment ref="J169" authorId="0">
      <text>
        <r>
          <rPr>
            <sz val="9"/>
            <color indexed="81"/>
            <rFont val="Tahoma"/>
            <family val="2"/>
          </rPr>
          <t xml:space="preserve">See notes on CFC11
</t>
        </r>
      </text>
    </comment>
    <comment ref="K169" authorId="0">
      <text>
        <r>
          <rPr>
            <sz val="9"/>
            <color indexed="81"/>
            <rFont val="Tahoma"/>
            <family val="2"/>
          </rPr>
          <t xml:space="preserve">See notes on CFC11
</t>
        </r>
      </text>
    </comment>
    <comment ref="H170" authorId="0">
      <text>
        <r>
          <rPr>
            <sz val="9"/>
            <color indexed="81"/>
            <rFont val="Tahoma"/>
            <family val="2"/>
          </rPr>
          <t xml:space="preserve">See note on CFC-11
</t>
        </r>
      </text>
    </comment>
    <comment ref="J170" authorId="0">
      <text>
        <r>
          <rPr>
            <sz val="9"/>
            <color indexed="81"/>
            <rFont val="Tahoma"/>
            <family val="2"/>
          </rPr>
          <t xml:space="preserve">See notes on CFC11
</t>
        </r>
      </text>
    </comment>
    <comment ref="K170" authorId="0">
      <text>
        <r>
          <rPr>
            <sz val="9"/>
            <color indexed="81"/>
            <rFont val="Tahoma"/>
            <family val="2"/>
          </rPr>
          <t xml:space="preserve">See notes on CFC11
</t>
        </r>
      </text>
    </comment>
    <comment ref="H171" authorId="0">
      <text>
        <r>
          <rPr>
            <sz val="9"/>
            <color indexed="81"/>
            <rFont val="Tahoma"/>
            <family val="2"/>
          </rPr>
          <t xml:space="preserve">See note on CFC-11
</t>
        </r>
      </text>
    </comment>
    <comment ref="J171" authorId="0">
      <text>
        <r>
          <rPr>
            <sz val="9"/>
            <color indexed="81"/>
            <rFont val="Tahoma"/>
            <family val="2"/>
          </rPr>
          <t xml:space="preserve">See notes on CFC11
</t>
        </r>
      </text>
    </comment>
    <comment ref="K171" authorId="0">
      <text>
        <r>
          <rPr>
            <sz val="9"/>
            <color indexed="81"/>
            <rFont val="Tahoma"/>
            <family val="2"/>
          </rPr>
          <t xml:space="preserve">See notes on CFC11
</t>
        </r>
      </text>
    </comment>
    <comment ref="H172" authorId="0">
      <text>
        <r>
          <rPr>
            <sz val="9"/>
            <color indexed="81"/>
            <rFont val="Tahoma"/>
            <family val="2"/>
          </rPr>
          <t xml:space="preserve">See note on CFC-11
</t>
        </r>
      </text>
    </comment>
    <comment ref="J172" authorId="0">
      <text>
        <r>
          <rPr>
            <sz val="9"/>
            <color indexed="81"/>
            <rFont val="Tahoma"/>
            <family val="2"/>
          </rPr>
          <t xml:space="preserve">See notes on CFC11
</t>
        </r>
      </text>
    </comment>
    <comment ref="K172" authorId="0">
      <text>
        <r>
          <rPr>
            <sz val="9"/>
            <color indexed="81"/>
            <rFont val="Tahoma"/>
            <family val="2"/>
          </rPr>
          <t xml:space="preserve">See notes on CFC11
</t>
        </r>
      </text>
    </comment>
    <comment ref="H173" authorId="0">
      <text>
        <r>
          <rPr>
            <sz val="9"/>
            <color indexed="81"/>
            <rFont val="Tahoma"/>
            <family val="2"/>
          </rPr>
          <t xml:space="preserve">See note on CFC-11
</t>
        </r>
      </text>
    </comment>
    <comment ref="J173" authorId="0">
      <text>
        <r>
          <rPr>
            <sz val="9"/>
            <color indexed="81"/>
            <rFont val="Tahoma"/>
            <family val="2"/>
          </rPr>
          <t xml:space="preserve">See notes on CFC11
</t>
        </r>
      </text>
    </comment>
    <comment ref="K173" authorId="0">
      <text>
        <r>
          <rPr>
            <sz val="9"/>
            <color indexed="81"/>
            <rFont val="Tahoma"/>
            <family val="2"/>
          </rPr>
          <t xml:space="preserve">See notes on CFC11
</t>
        </r>
      </text>
    </comment>
    <comment ref="H174" authorId="0">
      <text>
        <r>
          <rPr>
            <sz val="9"/>
            <color indexed="81"/>
            <rFont val="Tahoma"/>
            <family val="2"/>
          </rPr>
          <t xml:space="preserve">See note on CFC-11
</t>
        </r>
      </text>
    </comment>
    <comment ref="J174" authorId="0">
      <text>
        <r>
          <rPr>
            <sz val="9"/>
            <color indexed="81"/>
            <rFont val="Tahoma"/>
            <family val="2"/>
          </rPr>
          <t xml:space="preserve">See notes on CFC11
</t>
        </r>
      </text>
    </comment>
    <comment ref="K174" authorId="0">
      <text>
        <r>
          <rPr>
            <sz val="9"/>
            <color indexed="81"/>
            <rFont val="Tahoma"/>
            <family val="2"/>
          </rPr>
          <t xml:space="preserve">See notes on CFC11
</t>
        </r>
      </text>
    </comment>
    <comment ref="H175" authorId="0">
      <text>
        <r>
          <rPr>
            <sz val="9"/>
            <color indexed="81"/>
            <rFont val="Tahoma"/>
            <family val="2"/>
          </rPr>
          <t xml:space="preserve">See note on CFC-11
</t>
        </r>
      </text>
    </comment>
    <comment ref="J175" authorId="0">
      <text>
        <r>
          <rPr>
            <sz val="9"/>
            <color indexed="81"/>
            <rFont val="Tahoma"/>
            <family val="2"/>
          </rPr>
          <t xml:space="preserve">See notes on CFC11
</t>
        </r>
      </text>
    </comment>
    <comment ref="K175" authorId="0">
      <text>
        <r>
          <rPr>
            <sz val="9"/>
            <color indexed="81"/>
            <rFont val="Tahoma"/>
            <family val="2"/>
          </rPr>
          <t xml:space="preserve">See notes on CFC11
</t>
        </r>
      </text>
    </comment>
    <comment ref="H176" authorId="0">
      <text>
        <r>
          <rPr>
            <sz val="9"/>
            <color indexed="81"/>
            <rFont val="Tahoma"/>
            <family val="2"/>
          </rPr>
          <t xml:space="preserve">See note on CFC-11
</t>
        </r>
      </text>
    </comment>
    <comment ref="J176" authorId="0">
      <text>
        <r>
          <rPr>
            <sz val="9"/>
            <color indexed="81"/>
            <rFont val="Tahoma"/>
            <family val="2"/>
          </rPr>
          <t xml:space="preserve">See notes on CFC11
</t>
        </r>
      </text>
    </comment>
    <comment ref="K176" authorId="0">
      <text>
        <r>
          <rPr>
            <sz val="9"/>
            <color indexed="81"/>
            <rFont val="Tahoma"/>
            <family val="2"/>
          </rPr>
          <t xml:space="preserve">See notes on CFC11
</t>
        </r>
      </text>
    </comment>
    <comment ref="H177" authorId="0">
      <text>
        <r>
          <rPr>
            <sz val="9"/>
            <color indexed="81"/>
            <rFont val="Tahoma"/>
            <family val="2"/>
          </rPr>
          <t xml:space="preserve">See note on CFC-11
</t>
        </r>
      </text>
    </comment>
    <comment ref="J177" authorId="0">
      <text>
        <r>
          <rPr>
            <sz val="9"/>
            <color indexed="81"/>
            <rFont val="Tahoma"/>
            <family val="2"/>
          </rPr>
          <t xml:space="preserve">See notes on CFC11
</t>
        </r>
      </text>
    </comment>
    <comment ref="K177" authorId="0">
      <text>
        <r>
          <rPr>
            <sz val="9"/>
            <color indexed="81"/>
            <rFont val="Tahoma"/>
            <family val="2"/>
          </rPr>
          <t xml:space="preserve">See notes on CFC11
</t>
        </r>
      </text>
    </comment>
    <comment ref="H178" authorId="0">
      <text>
        <r>
          <rPr>
            <sz val="9"/>
            <color indexed="81"/>
            <rFont val="Tahoma"/>
            <family val="2"/>
          </rPr>
          <t xml:space="preserve">See note on CFC-11
</t>
        </r>
      </text>
    </comment>
    <comment ref="J178" authorId="0">
      <text>
        <r>
          <rPr>
            <sz val="9"/>
            <color indexed="81"/>
            <rFont val="Tahoma"/>
            <family val="2"/>
          </rPr>
          <t xml:space="preserve">See notes on CFC11
</t>
        </r>
      </text>
    </comment>
    <comment ref="K178" authorId="0">
      <text>
        <r>
          <rPr>
            <sz val="9"/>
            <color indexed="81"/>
            <rFont val="Tahoma"/>
            <family val="2"/>
          </rPr>
          <t xml:space="preserve">See notes on CFC11
</t>
        </r>
      </text>
    </comment>
    <comment ref="H179" authorId="0">
      <text>
        <r>
          <rPr>
            <sz val="9"/>
            <color indexed="81"/>
            <rFont val="Tahoma"/>
            <family val="2"/>
          </rPr>
          <t xml:space="preserve">See note on CFC-11
</t>
        </r>
      </text>
    </comment>
    <comment ref="J179" authorId="0">
      <text>
        <r>
          <rPr>
            <sz val="9"/>
            <color indexed="81"/>
            <rFont val="Tahoma"/>
            <family val="2"/>
          </rPr>
          <t xml:space="preserve">See notes on CFC11
</t>
        </r>
      </text>
    </comment>
    <comment ref="K179" authorId="0">
      <text>
        <r>
          <rPr>
            <sz val="9"/>
            <color indexed="81"/>
            <rFont val="Tahoma"/>
            <family val="2"/>
          </rPr>
          <t xml:space="preserve">See notes on CFC11
</t>
        </r>
      </text>
    </comment>
    <comment ref="H180" authorId="0">
      <text>
        <r>
          <rPr>
            <sz val="9"/>
            <color indexed="81"/>
            <rFont val="Tahoma"/>
            <family val="2"/>
          </rPr>
          <t xml:space="preserve">See note on CFC-11
</t>
        </r>
      </text>
    </comment>
    <comment ref="J180" authorId="0">
      <text>
        <r>
          <rPr>
            <sz val="9"/>
            <color indexed="81"/>
            <rFont val="Tahoma"/>
            <family val="2"/>
          </rPr>
          <t xml:space="preserve">See notes on CFC11
</t>
        </r>
      </text>
    </comment>
    <comment ref="K180" authorId="0">
      <text>
        <r>
          <rPr>
            <sz val="9"/>
            <color indexed="81"/>
            <rFont val="Tahoma"/>
            <family val="2"/>
          </rPr>
          <t xml:space="preserve">See notes on CFC11
</t>
        </r>
      </text>
    </comment>
    <comment ref="H181" authorId="0">
      <text>
        <r>
          <rPr>
            <sz val="9"/>
            <color indexed="81"/>
            <rFont val="Tahoma"/>
            <family val="2"/>
          </rPr>
          <t xml:space="preserve">See note on CFC-11
</t>
        </r>
      </text>
    </comment>
    <comment ref="J181" authorId="0">
      <text>
        <r>
          <rPr>
            <sz val="9"/>
            <color indexed="81"/>
            <rFont val="Tahoma"/>
            <family val="2"/>
          </rPr>
          <t xml:space="preserve">See notes on CFC11
</t>
        </r>
      </text>
    </comment>
    <comment ref="K181" authorId="0">
      <text>
        <r>
          <rPr>
            <sz val="9"/>
            <color indexed="81"/>
            <rFont val="Tahoma"/>
            <family val="2"/>
          </rPr>
          <t xml:space="preserve">See notes on CFC11
</t>
        </r>
      </text>
    </comment>
    <comment ref="H182" authorId="0">
      <text>
        <r>
          <rPr>
            <sz val="9"/>
            <color indexed="81"/>
            <rFont val="Tahoma"/>
            <family val="2"/>
          </rPr>
          <t xml:space="preserve">See note on CFC-11
</t>
        </r>
      </text>
    </comment>
    <comment ref="J182" authorId="0">
      <text>
        <r>
          <rPr>
            <sz val="9"/>
            <color indexed="81"/>
            <rFont val="Tahoma"/>
            <family val="2"/>
          </rPr>
          <t xml:space="preserve">See notes on CFC11
</t>
        </r>
      </text>
    </comment>
    <comment ref="K182" authorId="0">
      <text>
        <r>
          <rPr>
            <sz val="9"/>
            <color indexed="81"/>
            <rFont val="Tahoma"/>
            <family val="2"/>
          </rPr>
          <t xml:space="preserve">See notes on CFC11
</t>
        </r>
      </text>
    </comment>
    <comment ref="H183" authorId="0">
      <text>
        <r>
          <rPr>
            <sz val="9"/>
            <color indexed="81"/>
            <rFont val="Tahoma"/>
            <family val="2"/>
          </rPr>
          <t xml:space="preserve">See note on CFC-11
</t>
        </r>
      </text>
    </comment>
    <comment ref="J183" authorId="0">
      <text>
        <r>
          <rPr>
            <sz val="9"/>
            <color indexed="81"/>
            <rFont val="Tahoma"/>
            <family val="2"/>
          </rPr>
          <t xml:space="preserve">See notes on CFC11
</t>
        </r>
      </text>
    </comment>
    <comment ref="K183" authorId="0">
      <text>
        <r>
          <rPr>
            <sz val="9"/>
            <color indexed="81"/>
            <rFont val="Tahoma"/>
            <family val="2"/>
          </rPr>
          <t xml:space="preserve">See notes on CFC11
</t>
        </r>
      </text>
    </comment>
    <comment ref="H184" authorId="0">
      <text>
        <r>
          <rPr>
            <sz val="9"/>
            <color indexed="81"/>
            <rFont val="Tahoma"/>
            <family val="2"/>
          </rPr>
          <t xml:space="preserve">See note on CFC-11
</t>
        </r>
      </text>
    </comment>
    <comment ref="J184" authorId="0">
      <text>
        <r>
          <rPr>
            <sz val="9"/>
            <color indexed="81"/>
            <rFont val="Tahoma"/>
            <family val="2"/>
          </rPr>
          <t xml:space="preserve">See notes on CFC11
</t>
        </r>
      </text>
    </comment>
    <comment ref="K184" authorId="0">
      <text>
        <r>
          <rPr>
            <sz val="9"/>
            <color indexed="81"/>
            <rFont val="Tahoma"/>
            <family val="2"/>
          </rPr>
          <t xml:space="preserve">See notes on CFC11
</t>
        </r>
      </text>
    </comment>
    <comment ref="H185" authorId="0">
      <text>
        <r>
          <rPr>
            <sz val="9"/>
            <color indexed="81"/>
            <rFont val="Tahoma"/>
            <family val="2"/>
          </rPr>
          <t xml:space="preserve">See note on CFC-11
</t>
        </r>
      </text>
    </comment>
    <comment ref="J185" authorId="0">
      <text>
        <r>
          <rPr>
            <sz val="9"/>
            <color indexed="81"/>
            <rFont val="Tahoma"/>
            <family val="2"/>
          </rPr>
          <t xml:space="preserve">See notes on CFC11
</t>
        </r>
      </text>
    </comment>
    <comment ref="K185" authorId="0">
      <text>
        <r>
          <rPr>
            <sz val="9"/>
            <color indexed="81"/>
            <rFont val="Tahoma"/>
            <family val="2"/>
          </rPr>
          <t xml:space="preserve">See notes on CFC11
</t>
        </r>
      </text>
    </comment>
    <comment ref="H186" authorId="0">
      <text>
        <r>
          <rPr>
            <sz val="9"/>
            <color indexed="81"/>
            <rFont val="Tahoma"/>
            <family val="2"/>
          </rPr>
          <t xml:space="preserve">See note on CFC-11
</t>
        </r>
      </text>
    </comment>
    <comment ref="J186" authorId="0">
      <text>
        <r>
          <rPr>
            <sz val="9"/>
            <color indexed="81"/>
            <rFont val="Tahoma"/>
            <family val="2"/>
          </rPr>
          <t xml:space="preserve">See notes on CFC11
</t>
        </r>
      </text>
    </comment>
    <comment ref="K186" authorId="0">
      <text>
        <r>
          <rPr>
            <sz val="9"/>
            <color indexed="81"/>
            <rFont val="Tahoma"/>
            <family val="2"/>
          </rPr>
          <t xml:space="preserve">See notes on CFC11
</t>
        </r>
      </text>
    </comment>
    <comment ref="H187" authorId="0">
      <text>
        <r>
          <rPr>
            <sz val="9"/>
            <color indexed="81"/>
            <rFont val="Tahoma"/>
            <family val="2"/>
          </rPr>
          <t xml:space="preserve">See note on CFC-11
</t>
        </r>
      </text>
    </comment>
    <comment ref="J187" authorId="0">
      <text>
        <r>
          <rPr>
            <sz val="9"/>
            <color indexed="81"/>
            <rFont val="Tahoma"/>
            <family val="2"/>
          </rPr>
          <t xml:space="preserve">See notes on CFC11
</t>
        </r>
      </text>
    </comment>
    <comment ref="K187" authorId="0">
      <text>
        <r>
          <rPr>
            <sz val="9"/>
            <color indexed="81"/>
            <rFont val="Tahoma"/>
            <family val="2"/>
          </rPr>
          <t xml:space="preserve">See notes on CFC11
</t>
        </r>
      </text>
    </comment>
    <comment ref="H188" authorId="0">
      <text>
        <r>
          <rPr>
            <sz val="9"/>
            <color indexed="81"/>
            <rFont val="Tahoma"/>
            <family val="2"/>
          </rPr>
          <t xml:space="preserve">See note on CFC-11
</t>
        </r>
      </text>
    </comment>
    <comment ref="J188" authorId="0">
      <text>
        <r>
          <rPr>
            <sz val="9"/>
            <color indexed="81"/>
            <rFont val="Tahoma"/>
            <family val="2"/>
          </rPr>
          <t xml:space="preserve">See notes on CFC11
</t>
        </r>
      </text>
    </comment>
    <comment ref="K188" authorId="0">
      <text>
        <r>
          <rPr>
            <sz val="9"/>
            <color indexed="81"/>
            <rFont val="Tahoma"/>
            <family val="2"/>
          </rPr>
          <t xml:space="preserve">See notes on CFC11
</t>
        </r>
      </text>
    </comment>
    <comment ref="H189" authorId="0">
      <text>
        <r>
          <rPr>
            <sz val="9"/>
            <color indexed="81"/>
            <rFont val="Tahoma"/>
            <family val="2"/>
          </rPr>
          <t xml:space="preserve">See note on CFC-11
</t>
        </r>
      </text>
    </comment>
    <comment ref="J189" authorId="0">
      <text>
        <r>
          <rPr>
            <sz val="9"/>
            <color indexed="81"/>
            <rFont val="Tahoma"/>
            <family val="2"/>
          </rPr>
          <t xml:space="preserve">See notes on CFC11
</t>
        </r>
      </text>
    </comment>
    <comment ref="K189" authorId="0">
      <text>
        <r>
          <rPr>
            <sz val="9"/>
            <color indexed="81"/>
            <rFont val="Tahoma"/>
            <family val="2"/>
          </rPr>
          <t xml:space="preserve">See notes on CFC11
</t>
        </r>
      </text>
    </comment>
    <comment ref="H190" authorId="0">
      <text>
        <r>
          <rPr>
            <sz val="9"/>
            <color indexed="81"/>
            <rFont val="Tahoma"/>
            <family val="2"/>
          </rPr>
          <t xml:space="preserve">See note on CFC-11
</t>
        </r>
      </text>
    </comment>
    <comment ref="J190" authorId="0">
      <text>
        <r>
          <rPr>
            <sz val="9"/>
            <color indexed="81"/>
            <rFont val="Tahoma"/>
            <family val="2"/>
          </rPr>
          <t xml:space="preserve">See notes on CFC11
</t>
        </r>
      </text>
    </comment>
    <comment ref="K190" authorId="0">
      <text>
        <r>
          <rPr>
            <sz val="9"/>
            <color indexed="81"/>
            <rFont val="Tahoma"/>
            <family val="2"/>
          </rPr>
          <t xml:space="preserve">See notes on CFC11
</t>
        </r>
      </text>
    </comment>
    <comment ref="H191" authorId="0">
      <text>
        <r>
          <rPr>
            <sz val="9"/>
            <color indexed="81"/>
            <rFont val="Tahoma"/>
            <family val="2"/>
          </rPr>
          <t xml:space="preserve">See note on CFC-11
</t>
        </r>
      </text>
    </comment>
    <comment ref="J191" authorId="0">
      <text>
        <r>
          <rPr>
            <sz val="9"/>
            <color indexed="81"/>
            <rFont val="Tahoma"/>
            <family val="2"/>
          </rPr>
          <t xml:space="preserve">See notes on CFC11
</t>
        </r>
      </text>
    </comment>
    <comment ref="K191" authorId="0">
      <text>
        <r>
          <rPr>
            <sz val="9"/>
            <color indexed="81"/>
            <rFont val="Tahoma"/>
            <family val="2"/>
          </rPr>
          <t xml:space="preserve">See notes on CFC11
</t>
        </r>
      </text>
    </comment>
    <comment ref="H192" authorId="0">
      <text>
        <r>
          <rPr>
            <sz val="9"/>
            <color indexed="81"/>
            <rFont val="Tahoma"/>
            <family val="2"/>
          </rPr>
          <t xml:space="preserve">See note on CFC-11
</t>
        </r>
      </text>
    </comment>
    <comment ref="J192" authorId="0">
      <text>
        <r>
          <rPr>
            <sz val="9"/>
            <color indexed="81"/>
            <rFont val="Tahoma"/>
            <family val="2"/>
          </rPr>
          <t xml:space="preserve">See notes on CFC11
</t>
        </r>
      </text>
    </comment>
    <comment ref="K192" authorId="0">
      <text>
        <r>
          <rPr>
            <sz val="9"/>
            <color indexed="81"/>
            <rFont val="Tahoma"/>
            <family val="2"/>
          </rPr>
          <t xml:space="preserve">See notes on CFC11
</t>
        </r>
      </text>
    </comment>
    <comment ref="H193" authorId="0">
      <text>
        <r>
          <rPr>
            <sz val="9"/>
            <color indexed="81"/>
            <rFont val="Tahoma"/>
            <family val="2"/>
          </rPr>
          <t xml:space="preserve">See note on CFC-11
</t>
        </r>
      </text>
    </comment>
    <comment ref="J193" authorId="0">
      <text>
        <r>
          <rPr>
            <sz val="9"/>
            <color indexed="81"/>
            <rFont val="Tahoma"/>
            <family val="2"/>
          </rPr>
          <t xml:space="preserve">See notes on CFC11
</t>
        </r>
      </text>
    </comment>
    <comment ref="K193" authorId="0">
      <text>
        <r>
          <rPr>
            <sz val="9"/>
            <color indexed="81"/>
            <rFont val="Tahoma"/>
            <family val="2"/>
          </rPr>
          <t xml:space="preserve">See notes on CFC11
</t>
        </r>
      </text>
    </comment>
    <comment ref="H194" authorId="0">
      <text>
        <r>
          <rPr>
            <sz val="9"/>
            <color indexed="81"/>
            <rFont val="Tahoma"/>
            <family val="2"/>
          </rPr>
          <t xml:space="preserve">See note on CFC-11
</t>
        </r>
      </text>
    </comment>
    <comment ref="J194" authorId="0">
      <text>
        <r>
          <rPr>
            <sz val="9"/>
            <color indexed="81"/>
            <rFont val="Tahoma"/>
            <family val="2"/>
          </rPr>
          <t xml:space="preserve">See notes on CFC11
</t>
        </r>
      </text>
    </comment>
    <comment ref="K194" authorId="0">
      <text>
        <r>
          <rPr>
            <sz val="9"/>
            <color indexed="81"/>
            <rFont val="Tahoma"/>
            <family val="2"/>
          </rPr>
          <t xml:space="preserve">See notes on CFC11
</t>
        </r>
      </text>
    </comment>
    <comment ref="H195" authorId="0">
      <text>
        <r>
          <rPr>
            <sz val="9"/>
            <color indexed="81"/>
            <rFont val="Tahoma"/>
            <family val="2"/>
          </rPr>
          <t xml:space="preserve">See note on CFC-11
</t>
        </r>
      </text>
    </comment>
    <comment ref="J195" authorId="0">
      <text>
        <r>
          <rPr>
            <sz val="9"/>
            <color indexed="81"/>
            <rFont val="Tahoma"/>
            <family val="2"/>
          </rPr>
          <t xml:space="preserve">See notes on CFC11
</t>
        </r>
      </text>
    </comment>
    <comment ref="K195" authorId="0">
      <text>
        <r>
          <rPr>
            <sz val="9"/>
            <color indexed="81"/>
            <rFont val="Tahoma"/>
            <family val="2"/>
          </rPr>
          <t xml:space="preserve">See notes on CFC11
</t>
        </r>
      </text>
    </comment>
    <comment ref="H196" authorId="0">
      <text>
        <r>
          <rPr>
            <sz val="9"/>
            <color indexed="81"/>
            <rFont val="Tahoma"/>
            <family val="2"/>
          </rPr>
          <t xml:space="preserve">See note on CFC-11
</t>
        </r>
      </text>
    </comment>
    <comment ref="J196" authorId="0">
      <text>
        <r>
          <rPr>
            <sz val="9"/>
            <color indexed="81"/>
            <rFont val="Tahoma"/>
            <family val="2"/>
          </rPr>
          <t xml:space="preserve">See notes on CFC11
</t>
        </r>
      </text>
    </comment>
    <comment ref="K196" authorId="0">
      <text>
        <r>
          <rPr>
            <sz val="9"/>
            <color indexed="81"/>
            <rFont val="Tahoma"/>
            <family val="2"/>
          </rPr>
          <t xml:space="preserve">See notes on CFC11
</t>
        </r>
      </text>
    </comment>
    <comment ref="H197" authorId="0">
      <text>
        <r>
          <rPr>
            <sz val="9"/>
            <color indexed="81"/>
            <rFont val="Tahoma"/>
            <family val="2"/>
          </rPr>
          <t xml:space="preserve">See note on CFC-11
</t>
        </r>
      </text>
    </comment>
    <comment ref="J197" authorId="0">
      <text>
        <r>
          <rPr>
            <sz val="9"/>
            <color indexed="81"/>
            <rFont val="Tahoma"/>
            <family val="2"/>
          </rPr>
          <t xml:space="preserve">See notes on CFC11
</t>
        </r>
      </text>
    </comment>
    <comment ref="K197" authorId="0">
      <text>
        <r>
          <rPr>
            <sz val="9"/>
            <color indexed="81"/>
            <rFont val="Tahoma"/>
            <family val="2"/>
          </rPr>
          <t xml:space="preserve">See notes on CFC11
</t>
        </r>
      </text>
    </comment>
    <comment ref="H198" authorId="0">
      <text>
        <r>
          <rPr>
            <sz val="9"/>
            <color indexed="81"/>
            <rFont val="Tahoma"/>
            <family val="2"/>
          </rPr>
          <t xml:space="preserve">See note on CFC-11
</t>
        </r>
      </text>
    </comment>
    <comment ref="J198" authorId="0">
      <text>
        <r>
          <rPr>
            <sz val="9"/>
            <color indexed="81"/>
            <rFont val="Tahoma"/>
            <family val="2"/>
          </rPr>
          <t xml:space="preserve">See notes on CFC11
</t>
        </r>
      </text>
    </comment>
    <comment ref="K198" authorId="0">
      <text>
        <r>
          <rPr>
            <sz val="9"/>
            <color indexed="81"/>
            <rFont val="Tahoma"/>
            <family val="2"/>
          </rPr>
          <t xml:space="preserve">See notes on CFC11
</t>
        </r>
      </text>
    </comment>
    <comment ref="H199" authorId="0">
      <text>
        <r>
          <rPr>
            <sz val="9"/>
            <color indexed="81"/>
            <rFont val="Tahoma"/>
            <family val="2"/>
          </rPr>
          <t xml:space="preserve">See note on CFC-11
</t>
        </r>
      </text>
    </comment>
    <comment ref="J199" authorId="0">
      <text>
        <r>
          <rPr>
            <sz val="9"/>
            <color indexed="81"/>
            <rFont val="Tahoma"/>
            <family val="2"/>
          </rPr>
          <t xml:space="preserve">See notes on CFC11
</t>
        </r>
      </text>
    </comment>
    <comment ref="K199" authorId="0">
      <text>
        <r>
          <rPr>
            <sz val="9"/>
            <color indexed="81"/>
            <rFont val="Tahoma"/>
            <family val="2"/>
          </rPr>
          <t xml:space="preserve">See notes on CFC11
</t>
        </r>
      </text>
    </comment>
    <comment ref="H200" authorId="0">
      <text>
        <r>
          <rPr>
            <sz val="9"/>
            <color indexed="81"/>
            <rFont val="Tahoma"/>
            <family val="2"/>
          </rPr>
          <t xml:space="preserve">See note on CFC-11
</t>
        </r>
      </text>
    </comment>
    <comment ref="J200" authorId="0">
      <text>
        <r>
          <rPr>
            <sz val="9"/>
            <color indexed="81"/>
            <rFont val="Tahoma"/>
            <family val="2"/>
          </rPr>
          <t xml:space="preserve">See notes on CFC11
</t>
        </r>
      </text>
    </comment>
    <comment ref="K200" authorId="0">
      <text>
        <r>
          <rPr>
            <sz val="9"/>
            <color indexed="81"/>
            <rFont val="Tahoma"/>
            <family val="2"/>
          </rPr>
          <t xml:space="preserve">See notes on CFC11
</t>
        </r>
      </text>
    </comment>
    <comment ref="H201" authorId="0">
      <text>
        <r>
          <rPr>
            <sz val="9"/>
            <color indexed="81"/>
            <rFont val="Tahoma"/>
            <family val="2"/>
          </rPr>
          <t xml:space="preserve">See note on CFC-11
</t>
        </r>
      </text>
    </comment>
    <comment ref="J201" authorId="0">
      <text>
        <r>
          <rPr>
            <sz val="9"/>
            <color indexed="81"/>
            <rFont val="Tahoma"/>
            <family val="2"/>
          </rPr>
          <t xml:space="preserve">See notes on CFC11
</t>
        </r>
      </text>
    </comment>
    <comment ref="K201" authorId="0">
      <text>
        <r>
          <rPr>
            <sz val="9"/>
            <color indexed="81"/>
            <rFont val="Tahoma"/>
            <family val="2"/>
          </rPr>
          <t xml:space="preserve">See notes on CFC11
</t>
        </r>
      </text>
    </comment>
    <comment ref="H202" authorId="0">
      <text>
        <r>
          <rPr>
            <sz val="9"/>
            <color indexed="81"/>
            <rFont val="Tahoma"/>
            <family val="2"/>
          </rPr>
          <t xml:space="preserve">See note on CFC-11
</t>
        </r>
      </text>
    </comment>
    <comment ref="J202" authorId="0">
      <text>
        <r>
          <rPr>
            <sz val="9"/>
            <color indexed="81"/>
            <rFont val="Tahoma"/>
            <family val="2"/>
          </rPr>
          <t xml:space="preserve">See notes on CFC11
</t>
        </r>
      </text>
    </comment>
    <comment ref="K202" authorId="0">
      <text>
        <r>
          <rPr>
            <sz val="9"/>
            <color indexed="81"/>
            <rFont val="Tahoma"/>
            <family val="2"/>
          </rPr>
          <t xml:space="preserve">See notes on CFC11
</t>
        </r>
      </text>
    </comment>
    <comment ref="H203" authorId="0">
      <text>
        <r>
          <rPr>
            <sz val="9"/>
            <color indexed="81"/>
            <rFont val="Tahoma"/>
            <family val="2"/>
          </rPr>
          <t xml:space="preserve">See note on CFC-11
</t>
        </r>
      </text>
    </comment>
    <comment ref="J203" authorId="0">
      <text>
        <r>
          <rPr>
            <sz val="9"/>
            <color indexed="81"/>
            <rFont val="Tahoma"/>
            <family val="2"/>
          </rPr>
          <t xml:space="preserve">See notes on CFC11
</t>
        </r>
      </text>
    </comment>
    <comment ref="K203" authorId="0">
      <text>
        <r>
          <rPr>
            <sz val="9"/>
            <color indexed="81"/>
            <rFont val="Tahoma"/>
            <family val="2"/>
          </rPr>
          <t xml:space="preserve">See notes on CFC11
</t>
        </r>
      </text>
    </comment>
    <comment ref="H204" authorId="0">
      <text>
        <r>
          <rPr>
            <sz val="9"/>
            <color indexed="81"/>
            <rFont val="Tahoma"/>
            <family val="2"/>
          </rPr>
          <t xml:space="preserve">See note on CFC-11
</t>
        </r>
      </text>
    </comment>
    <comment ref="J204" authorId="0">
      <text>
        <r>
          <rPr>
            <sz val="9"/>
            <color indexed="81"/>
            <rFont val="Tahoma"/>
            <family val="2"/>
          </rPr>
          <t xml:space="preserve">See notes on CFC11
</t>
        </r>
      </text>
    </comment>
    <comment ref="K204" authorId="0">
      <text>
        <r>
          <rPr>
            <sz val="9"/>
            <color indexed="81"/>
            <rFont val="Tahoma"/>
            <family val="2"/>
          </rPr>
          <t xml:space="preserve">See notes on CFC11
</t>
        </r>
      </text>
    </comment>
    <comment ref="H205" authorId="0">
      <text>
        <r>
          <rPr>
            <sz val="9"/>
            <color indexed="81"/>
            <rFont val="Tahoma"/>
            <family val="2"/>
          </rPr>
          <t xml:space="preserve">See note on CFC-11
</t>
        </r>
      </text>
    </comment>
    <comment ref="J205" authorId="0">
      <text>
        <r>
          <rPr>
            <sz val="9"/>
            <color indexed="81"/>
            <rFont val="Tahoma"/>
            <family val="2"/>
          </rPr>
          <t xml:space="preserve">See notes on CFC11
</t>
        </r>
      </text>
    </comment>
    <comment ref="K205" authorId="0">
      <text>
        <r>
          <rPr>
            <sz val="9"/>
            <color indexed="81"/>
            <rFont val="Tahoma"/>
            <family val="2"/>
          </rPr>
          <t xml:space="preserve">See notes on CFC11
</t>
        </r>
      </text>
    </comment>
    <comment ref="H206" authorId="0">
      <text>
        <r>
          <rPr>
            <sz val="9"/>
            <color indexed="81"/>
            <rFont val="Tahoma"/>
            <family val="2"/>
          </rPr>
          <t xml:space="preserve">See note on CFC-11
</t>
        </r>
      </text>
    </comment>
    <comment ref="J206" authorId="0">
      <text>
        <r>
          <rPr>
            <sz val="9"/>
            <color indexed="81"/>
            <rFont val="Tahoma"/>
            <family val="2"/>
          </rPr>
          <t xml:space="preserve">See notes on CFC11
</t>
        </r>
      </text>
    </comment>
    <comment ref="K206" authorId="0">
      <text>
        <r>
          <rPr>
            <sz val="9"/>
            <color indexed="81"/>
            <rFont val="Tahoma"/>
            <family val="2"/>
          </rPr>
          <t xml:space="preserve">See notes on CFC11
</t>
        </r>
      </text>
    </comment>
    <comment ref="H207" authorId="0">
      <text>
        <r>
          <rPr>
            <sz val="9"/>
            <color indexed="81"/>
            <rFont val="Tahoma"/>
            <family val="2"/>
          </rPr>
          <t xml:space="preserve">See note on CFC-11
</t>
        </r>
      </text>
    </comment>
    <comment ref="J207" authorId="0">
      <text>
        <r>
          <rPr>
            <sz val="9"/>
            <color indexed="81"/>
            <rFont val="Tahoma"/>
            <family val="2"/>
          </rPr>
          <t xml:space="preserve">See notes on CFC11
</t>
        </r>
      </text>
    </comment>
    <comment ref="K207" authorId="0">
      <text>
        <r>
          <rPr>
            <sz val="9"/>
            <color indexed="81"/>
            <rFont val="Tahoma"/>
            <family val="2"/>
          </rPr>
          <t xml:space="preserve">See notes on CFC11
</t>
        </r>
      </text>
    </comment>
    <comment ref="H208" authorId="0">
      <text>
        <r>
          <rPr>
            <sz val="9"/>
            <color indexed="81"/>
            <rFont val="Tahoma"/>
            <family val="2"/>
          </rPr>
          <t xml:space="preserve">See note on CFC-11
</t>
        </r>
      </text>
    </comment>
    <comment ref="J208" authorId="0">
      <text>
        <r>
          <rPr>
            <sz val="9"/>
            <color indexed="81"/>
            <rFont val="Tahoma"/>
            <family val="2"/>
          </rPr>
          <t xml:space="preserve">See notes on CFC11
</t>
        </r>
      </text>
    </comment>
    <comment ref="K208" authorId="0">
      <text>
        <r>
          <rPr>
            <sz val="9"/>
            <color indexed="81"/>
            <rFont val="Tahoma"/>
            <family val="2"/>
          </rPr>
          <t xml:space="preserve">See notes on CFC11
</t>
        </r>
      </text>
    </comment>
    <comment ref="H209" authorId="0">
      <text>
        <r>
          <rPr>
            <sz val="9"/>
            <color indexed="81"/>
            <rFont val="Tahoma"/>
            <family val="2"/>
          </rPr>
          <t xml:space="preserve">See note on CFC-11
</t>
        </r>
      </text>
    </comment>
    <comment ref="J209" authorId="0">
      <text>
        <r>
          <rPr>
            <sz val="9"/>
            <color indexed="81"/>
            <rFont val="Tahoma"/>
            <family val="2"/>
          </rPr>
          <t xml:space="preserve">See notes on CFC11
</t>
        </r>
      </text>
    </comment>
    <comment ref="K209" authorId="0">
      <text>
        <r>
          <rPr>
            <sz val="9"/>
            <color indexed="81"/>
            <rFont val="Tahoma"/>
            <family val="2"/>
          </rPr>
          <t xml:space="preserve">See notes on CFC11
</t>
        </r>
      </text>
    </comment>
    <comment ref="H210" authorId="0">
      <text>
        <r>
          <rPr>
            <sz val="9"/>
            <color indexed="81"/>
            <rFont val="Tahoma"/>
            <family val="2"/>
          </rPr>
          <t xml:space="preserve">See note on CFC-11
</t>
        </r>
      </text>
    </comment>
    <comment ref="J210" authorId="0">
      <text>
        <r>
          <rPr>
            <sz val="9"/>
            <color indexed="81"/>
            <rFont val="Tahoma"/>
            <family val="2"/>
          </rPr>
          <t xml:space="preserve">See notes on CFC11
</t>
        </r>
      </text>
    </comment>
    <comment ref="K210" authorId="0">
      <text>
        <r>
          <rPr>
            <sz val="9"/>
            <color indexed="81"/>
            <rFont val="Tahoma"/>
            <family val="2"/>
          </rPr>
          <t xml:space="preserve">See notes on CFC11
</t>
        </r>
      </text>
    </comment>
    <comment ref="H211" authorId="0">
      <text>
        <r>
          <rPr>
            <sz val="9"/>
            <color indexed="81"/>
            <rFont val="Tahoma"/>
            <family val="2"/>
          </rPr>
          <t xml:space="preserve">See note on CFC-11
</t>
        </r>
      </text>
    </comment>
    <comment ref="J211" authorId="0">
      <text>
        <r>
          <rPr>
            <sz val="9"/>
            <color indexed="81"/>
            <rFont val="Tahoma"/>
            <family val="2"/>
          </rPr>
          <t xml:space="preserve">See notes on CFC11
</t>
        </r>
      </text>
    </comment>
    <comment ref="K211" authorId="0">
      <text>
        <r>
          <rPr>
            <sz val="9"/>
            <color indexed="81"/>
            <rFont val="Tahoma"/>
            <family val="2"/>
          </rPr>
          <t xml:space="preserve">See notes on CFC11
</t>
        </r>
      </text>
    </comment>
    <comment ref="H212" authorId="0">
      <text>
        <r>
          <rPr>
            <sz val="9"/>
            <color indexed="81"/>
            <rFont val="Tahoma"/>
            <family val="2"/>
          </rPr>
          <t xml:space="preserve">See note on CFC-11
</t>
        </r>
      </text>
    </comment>
    <comment ref="J212" authorId="0">
      <text>
        <r>
          <rPr>
            <sz val="9"/>
            <color indexed="81"/>
            <rFont val="Tahoma"/>
            <family val="2"/>
          </rPr>
          <t xml:space="preserve">See notes on CFC11
</t>
        </r>
      </text>
    </comment>
    <comment ref="K212" authorId="0">
      <text>
        <r>
          <rPr>
            <sz val="9"/>
            <color indexed="81"/>
            <rFont val="Tahoma"/>
            <family val="2"/>
          </rPr>
          <t xml:space="preserve">See notes on CFC11
</t>
        </r>
      </text>
    </comment>
    <comment ref="H213" authorId="0">
      <text>
        <r>
          <rPr>
            <sz val="9"/>
            <color indexed="81"/>
            <rFont val="Tahoma"/>
            <family val="2"/>
          </rPr>
          <t xml:space="preserve">See note on CFC-11
</t>
        </r>
      </text>
    </comment>
    <comment ref="J213" authorId="0">
      <text>
        <r>
          <rPr>
            <sz val="9"/>
            <color indexed="81"/>
            <rFont val="Tahoma"/>
            <family val="2"/>
          </rPr>
          <t xml:space="preserve">See notes on CFC11
</t>
        </r>
      </text>
    </comment>
    <comment ref="K213" authorId="0">
      <text>
        <r>
          <rPr>
            <sz val="9"/>
            <color indexed="81"/>
            <rFont val="Tahoma"/>
            <family val="2"/>
          </rPr>
          <t xml:space="preserve">See notes on CFC11
</t>
        </r>
      </text>
    </comment>
    <comment ref="H214" authorId="0">
      <text>
        <r>
          <rPr>
            <sz val="9"/>
            <color indexed="81"/>
            <rFont val="Tahoma"/>
            <family val="2"/>
          </rPr>
          <t xml:space="preserve">See note on CFC-11
</t>
        </r>
      </text>
    </comment>
    <comment ref="J214" authorId="0">
      <text>
        <r>
          <rPr>
            <sz val="9"/>
            <color indexed="81"/>
            <rFont val="Tahoma"/>
            <family val="2"/>
          </rPr>
          <t xml:space="preserve">See notes on CFC11
</t>
        </r>
      </text>
    </comment>
    <comment ref="K214" authorId="0">
      <text>
        <r>
          <rPr>
            <sz val="9"/>
            <color indexed="81"/>
            <rFont val="Tahoma"/>
            <family val="2"/>
          </rPr>
          <t xml:space="preserve">See notes on CFC11
</t>
        </r>
      </text>
    </comment>
    <comment ref="H215" authorId="0">
      <text>
        <r>
          <rPr>
            <sz val="9"/>
            <color indexed="81"/>
            <rFont val="Tahoma"/>
            <family val="2"/>
          </rPr>
          <t xml:space="preserve">See note on CFC-11
</t>
        </r>
      </text>
    </comment>
    <comment ref="J215" authorId="0">
      <text>
        <r>
          <rPr>
            <sz val="9"/>
            <color indexed="81"/>
            <rFont val="Tahoma"/>
            <family val="2"/>
          </rPr>
          <t xml:space="preserve">See notes on CFC11
</t>
        </r>
      </text>
    </comment>
    <comment ref="K215" authorId="0">
      <text>
        <r>
          <rPr>
            <sz val="9"/>
            <color indexed="81"/>
            <rFont val="Tahoma"/>
            <family val="2"/>
          </rPr>
          <t xml:space="preserve">See notes on CFC11
</t>
        </r>
      </text>
    </comment>
    <comment ref="H216" authorId="0">
      <text>
        <r>
          <rPr>
            <sz val="9"/>
            <color indexed="81"/>
            <rFont val="Tahoma"/>
            <family val="2"/>
          </rPr>
          <t xml:space="preserve">See note on CFC-11
</t>
        </r>
      </text>
    </comment>
    <comment ref="J216" authorId="0">
      <text>
        <r>
          <rPr>
            <sz val="9"/>
            <color indexed="81"/>
            <rFont val="Tahoma"/>
            <family val="2"/>
          </rPr>
          <t xml:space="preserve">See notes on CFC11
</t>
        </r>
      </text>
    </comment>
    <comment ref="K216" authorId="0">
      <text>
        <r>
          <rPr>
            <sz val="9"/>
            <color indexed="81"/>
            <rFont val="Tahoma"/>
            <family val="2"/>
          </rPr>
          <t xml:space="preserve">See notes on CFC11
</t>
        </r>
      </text>
    </comment>
    <comment ref="H217" authorId="0">
      <text>
        <r>
          <rPr>
            <sz val="9"/>
            <color indexed="81"/>
            <rFont val="Tahoma"/>
            <family val="2"/>
          </rPr>
          <t xml:space="preserve">See note on CFC-11
</t>
        </r>
      </text>
    </comment>
    <comment ref="J217" authorId="0">
      <text>
        <r>
          <rPr>
            <sz val="9"/>
            <color indexed="81"/>
            <rFont val="Tahoma"/>
            <family val="2"/>
          </rPr>
          <t xml:space="preserve">See notes on CFC11
</t>
        </r>
      </text>
    </comment>
    <comment ref="K217" authorId="0">
      <text>
        <r>
          <rPr>
            <sz val="9"/>
            <color indexed="81"/>
            <rFont val="Tahoma"/>
            <family val="2"/>
          </rPr>
          <t xml:space="preserve">See notes on CFC11
</t>
        </r>
      </text>
    </comment>
    <comment ref="H218" authorId="0">
      <text>
        <r>
          <rPr>
            <sz val="9"/>
            <color indexed="81"/>
            <rFont val="Tahoma"/>
            <family val="2"/>
          </rPr>
          <t xml:space="preserve">See note on CFC-11
</t>
        </r>
      </text>
    </comment>
    <comment ref="J218" authorId="0">
      <text>
        <r>
          <rPr>
            <sz val="9"/>
            <color indexed="81"/>
            <rFont val="Tahoma"/>
            <family val="2"/>
          </rPr>
          <t xml:space="preserve">See notes on CFC11
</t>
        </r>
      </text>
    </comment>
    <comment ref="K218" authorId="0">
      <text>
        <r>
          <rPr>
            <sz val="9"/>
            <color indexed="81"/>
            <rFont val="Tahoma"/>
            <family val="2"/>
          </rPr>
          <t xml:space="preserve">See notes on CFC11
</t>
        </r>
      </text>
    </comment>
    <comment ref="H219" authorId="0">
      <text>
        <r>
          <rPr>
            <sz val="9"/>
            <color indexed="81"/>
            <rFont val="Tahoma"/>
            <family val="2"/>
          </rPr>
          <t xml:space="preserve">See note on CFC-11
</t>
        </r>
      </text>
    </comment>
    <comment ref="J219" authorId="0">
      <text>
        <r>
          <rPr>
            <sz val="9"/>
            <color indexed="81"/>
            <rFont val="Tahoma"/>
            <family val="2"/>
          </rPr>
          <t xml:space="preserve">See notes on CFC11
</t>
        </r>
      </text>
    </comment>
    <comment ref="K219" authorId="0">
      <text>
        <r>
          <rPr>
            <sz val="9"/>
            <color indexed="81"/>
            <rFont val="Tahoma"/>
            <family val="2"/>
          </rPr>
          <t xml:space="preserve">See notes on CFC11
</t>
        </r>
      </text>
    </comment>
    <comment ref="H220" authorId="0">
      <text>
        <r>
          <rPr>
            <sz val="9"/>
            <color indexed="81"/>
            <rFont val="Tahoma"/>
            <family val="2"/>
          </rPr>
          <t xml:space="preserve">See note on CFC-11
</t>
        </r>
      </text>
    </comment>
    <comment ref="J220" authorId="0">
      <text>
        <r>
          <rPr>
            <sz val="9"/>
            <color indexed="81"/>
            <rFont val="Tahoma"/>
            <family val="2"/>
          </rPr>
          <t xml:space="preserve">See notes on CFC11
</t>
        </r>
      </text>
    </comment>
    <comment ref="K220" authorId="0">
      <text>
        <r>
          <rPr>
            <sz val="9"/>
            <color indexed="81"/>
            <rFont val="Tahoma"/>
            <family val="2"/>
          </rPr>
          <t xml:space="preserve">See notes on CFC11
</t>
        </r>
      </text>
    </comment>
    <comment ref="H221" authorId="0">
      <text>
        <r>
          <rPr>
            <sz val="9"/>
            <color indexed="81"/>
            <rFont val="Tahoma"/>
            <family val="2"/>
          </rPr>
          <t xml:space="preserve">See note on CFC-11
</t>
        </r>
      </text>
    </comment>
    <comment ref="J221" authorId="0">
      <text>
        <r>
          <rPr>
            <sz val="9"/>
            <color indexed="81"/>
            <rFont val="Tahoma"/>
            <family val="2"/>
          </rPr>
          <t xml:space="preserve">See notes on CFC11
</t>
        </r>
      </text>
    </comment>
    <comment ref="K221" authorId="0">
      <text>
        <r>
          <rPr>
            <sz val="9"/>
            <color indexed="81"/>
            <rFont val="Tahoma"/>
            <family val="2"/>
          </rPr>
          <t xml:space="preserve">See notes on CFC11
</t>
        </r>
      </text>
    </comment>
    <comment ref="H222" authorId="0">
      <text>
        <r>
          <rPr>
            <sz val="9"/>
            <color indexed="81"/>
            <rFont val="Tahoma"/>
            <family val="2"/>
          </rPr>
          <t xml:space="preserve">See note on CFC-11
</t>
        </r>
      </text>
    </comment>
    <comment ref="J222" authorId="0">
      <text>
        <r>
          <rPr>
            <sz val="9"/>
            <color indexed="81"/>
            <rFont val="Tahoma"/>
            <family val="2"/>
          </rPr>
          <t xml:space="preserve">See notes on CFC11
</t>
        </r>
      </text>
    </comment>
    <comment ref="K222" authorId="0">
      <text>
        <r>
          <rPr>
            <sz val="9"/>
            <color indexed="81"/>
            <rFont val="Tahoma"/>
            <family val="2"/>
          </rPr>
          <t xml:space="preserve">See notes on CFC11
</t>
        </r>
      </text>
    </comment>
    <comment ref="H223" authorId="0">
      <text>
        <r>
          <rPr>
            <sz val="9"/>
            <color indexed="81"/>
            <rFont val="Tahoma"/>
            <family val="2"/>
          </rPr>
          <t xml:space="preserve">See note on CFC-11
</t>
        </r>
      </text>
    </comment>
    <comment ref="J223" authorId="0">
      <text>
        <r>
          <rPr>
            <sz val="9"/>
            <color indexed="81"/>
            <rFont val="Tahoma"/>
            <family val="2"/>
          </rPr>
          <t xml:space="preserve">See notes on CFC11
</t>
        </r>
      </text>
    </comment>
    <comment ref="K223" authorId="0">
      <text>
        <r>
          <rPr>
            <sz val="9"/>
            <color indexed="81"/>
            <rFont val="Tahoma"/>
            <family val="2"/>
          </rPr>
          <t xml:space="preserve">See notes on CFC11
</t>
        </r>
      </text>
    </comment>
    <comment ref="H224" authorId="0">
      <text>
        <r>
          <rPr>
            <sz val="9"/>
            <color indexed="81"/>
            <rFont val="Tahoma"/>
            <family val="2"/>
          </rPr>
          <t xml:space="preserve">See note on CFC-11
</t>
        </r>
      </text>
    </comment>
    <comment ref="J224" authorId="0">
      <text>
        <r>
          <rPr>
            <sz val="9"/>
            <color indexed="81"/>
            <rFont val="Tahoma"/>
            <family val="2"/>
          </rPr>
          <t xml:space="preserve">See notes on CFC11
</t>
        </r>
      </text>
    </comment>
    <comment ref="K224" authorId="0">
      <text>
        <r>
          <rPr>
            <sz val="9"/>
            <color indexed="81"/>
            <rFont val="Tahoma"/>
            <family val="2"/>
          </rPr>
          <t xml:space="preserve">See notes on CFC11
</t>
        </r>
      </text>
    </comment>
    <comment ref="H225" authorId="0">
      <text>
        <r>
          <rPr>
            <sz val="9"/>
            <color indexed="81"/>
            <rFont val="Tahoma"/>
            <family val="2"/>
          </rPr>
          <t xml:space="preserve">See note on CFC-11
</t>
        </r>
      </text>
    </comment>
    <comment ref="J225" authorId="0">
      <text>
        <r>
          <rPr>
            <sz val="9"/>
            <color indexed="81"/>
            <rFont val="Tahoma"/>
            <family val="2"/>
          </rPr>
          <t xml:space="preserve">See notes on CFC11
</t>
        </r>
      </text>
    </comment>
    <comment ref="K225" authorId="0">
      <text>
        <r>
          <rPr>
            <sz val="9"/>
            <color indexed="81"/>
            <rFont val="Tahoma"/>
            <family val="2"/>
          </rPr>
          <t xml:space="preserve">See notes on CFC11
</t>
        </r>
      </text>
    </comment>
    <comment ref="H226" authorId="0">
      <text>
        <r>
          <rPr>
            <sz val="9"/>
            <color indexed="81"/>
            <rFont val="Tahoma"/>
            <family val="2"/>
          </rPr>
          <t xml:space="preserve">See note on CFC-11
</t>
        </r>
      </text>
    </comment>
    <comment ref="J226" authorId="0">
      <text>
        <r>
          <rPr>
            <sz val="9"/>
            <color indexed="81"/>
            <rFont val="Tahoma"/>
            <family val="2"/>
          </rPr>
          <t xml:space="preserve">See notes on CFC11
</t>
        </r>
      </text>
    </comment>
    <comment ref="K226" authorId="0">
      <text>
        <r>
          <rPr>
            <sz val="9"/>
            <color indexed="81"/>
            <rFont val="Tahoma"/>
            <family val="2"/>
          </rPr>
          <t xml:space="preserve">See notes on CFC11
</t>
        </r>
      </text>
    </comment>
    <comment ref="H227" authorId="0">
      <text>
        <r>
          <rPr>
            <sz val="9"/>
            <color indexed="81"/>
            <rFont val="Tahoma"/>
            <family val="2"/>
          </rPr>
          <t xml:space="preserve">See note on CFC-11
</t>
        </r>
      </text>
    </comment>
    <comment ref="J227" authorId="0">
      <text>
        <r>
          <rPr>
            <sz val="9"/>
            <color indexed="81"/>
            <rFont val="Tahoma"/>
            <family val="2"/>
          </rPr>
          <t xml:space="preserve">See notes on CFC11
</t>
        </r>
      </text>
    </comment>
    <comment ref="K227" authorId="0">
      <text>
        <r>
          <rPr>
            <sz val="9"/>
            <color indexed="81"/>
            <rFont val="Tahoma"/>
            <family val="2"/>
          </rPr>
          <t xml:space="preserve">See notes on CFC11
</t>
        </r>
      </text>
    </comment>
    <comment ref="H228" authorId="0">
      <text>
        <r>
          <rPr>
            <sz val="9"/>
            <color indexed="81"/>
            <rFont val="Tahoma"/>
            <family val="2"/>
          </rPr>
          <t xml:space="preserve">See note on CFC-11
</t>
        </r>
      </text>
    </comment>
    <comment ref="J228" authorId="0">
      <text>
        <r>
          <rPr>
            <sz val="9"/>
            <color indexed="81"/>
            <rFont val="Tahoma"/>
            <family val="2"/>
          </rPr>
          <t xml:space="preserve">See notes on CFC11
</t>
        </r>
      </text>
    </comment>
    <comment ref="K228" authorId="0">
      <text>
        <r>
          <rPr>
            <sz val="9"/>
            <color indexed="81"/>
            <rFont val="Tahoma"/>
            <family val="2"/>
          </rPr>
          <t xml:space="preserve">See notes on CFC11
</t>
        </r>
      </text>
    </comment>
    <comment ref="H229" authorId="0">
      <text>
        <r>
          <rPr>
            <sz val="9"/>
            <color indexed="81"/>
            <rFont val="Tahoma"/>
            <family val="2"/>
          </rPr>
          <t xml:space="preserve">See note on CFC-11
</t>
        </r>
      </text>
    </comment>
    <comment ref="J229" authorId="0">
      <text>
        <r>
          <rPr>
            <sz val="9"/>
            <color indexed="81"/>
            <rFont val="Tahoma"/>
            <family val="2"/>
          </rPr>
          <t xml:space="preserve">See notes on CFC11
</t>
        </r>
      </text>
    </comment>
    <comment ref="K229" authorId="0">
      <text>
        <r>
          <rPr>
            <sz val="9"/>
            <color indexed="81"/>
            <rFont val="Tahoma"/>
            <family val="2"/>
          </rPr>
          <t xml:space="preserve">See notes on CFC11
</t>
        </r>
      </text>
    </comment>
    <comment ref="H230" authorId="0">
      <text>
        <r>
          <rPr>
            <sz val="9"/>
            <color indexed="81"/>
            <rFont val="Tahoma"/>
            <family val="2"/>
          </rPr>
          <t xml:space="preserve">See note on CFC-11
</t>
        </r>
      </text>
    </comment>
    <comment ref="J230" authorId="0">
      <text>
        <r>
          <rPr>
            <sz val="9"/>
            <color indexed="81"/>
            <rFont val="Tahoma"/>
            <family val="2"/>
          </rPr>
          <t xml:space="preserve">See notes on CFC11
</t>
        </r>
      </text>
    </comment>
    <comment ref="K230" authorId="0">
      <text>
        <r>
          <rPr>
            <sz val="9"/>
            <color indexed="81"/>
            <rFont val="Tahoma"/>
            <family val="2"/>
          </rPr>
          <t xml:space="preserve">See notes on CFC11
</t>
        </r>
      </text>
    </comment>
    <comment ref="H231" authorId="0">
      <text>
        <r>
          <rPr>
            <sz val="9"/>
            <color indexed="81"/>
            <rFont val="Tahoma"/>
            <family val="2"/>
          </rPr>
          <t xml:space="preserve">See note on CFC-11
</t>
        </r>
      </text>
    </comment>
    <comment ref="J231" authorId="0">
      <text>
        <r>
          <rPr>
            <sz val="9"/>
            <color indexed="81"/>
            <rFont val="Tahoma"/>
            <family val="2"/>
          </rPr>
          <t xml:space="preserve">See notes on CFC11
</t>
        </r>
      </text>
    </comment>
    <comment ref="K231" authorId="0">
      <text>
        <r>
          <rPr>
            <sz val="9"/>
            <color indexed="81"/>
            <rFont val="Tahoma"/>
            <family val="2"/>
          </rPr>
          <t xml:space="preserve">See notes on CFC11
</t>
        </r>
      </text>
    </comment>
    <comment ref="H232" authorId="0">
      <text>
        <r>
          <rPr>
            <sz val="9"/>
            <color indexed="81"/>
            <rFont val="Tahoma"/>
            <family val="2"/>
          </rPr>
          <t xml:space="preserve">See note on CFC-11
</t>
        </r>
      </text>
    </comment>
    <comment ref="J232" authorId="0">
      <text>
        <r>
          <rPr>
            <sz val="9"/>
            <color indexed="81"/>
            <rFont val="Tahoma"/>
            <family val="2"/>
          </rPr>
          <t xml:space="preserve">See notes on CFC11
</t>
        </r>
      </text>
    </comment>
    <comment ref="K232" authorId="0">
      <text>
        <r>
          <rPr>
            <sz val="9"/>
            <color indexed="81"/>
            <rFont val="Tahoma"/>
            <family val="2"/>
          </rPr>
          <t xml:space="preserve">See notes on CFC11
</t>
        </r>
      </text>
    </comment>
    <comment ref="H233" authorId="0">
      <text>
        <r>
          <rPr>
            <sz val="9"/>
            <color indexed="81"/>
            <rFont val="Tahoma"/>
            <family val="2"/>
          </rPr>
          <t xml:space="preserve">See note on CFC-11
</t>
        </r>
      </text>
    </comment>
    <comment ref="J233" authorId="0">
      <text>
        <r>
          <rPr>
            <sz val="9"/>
            <color indexed="81"/>
            <rFont val="Tahoma"/>
            <family val="2"/>
          </rPr>
          <t xml:space="preserve">See notes on CFC11
</t>
        </r>
      </text>
    </comment>
    <comment ref="K233" authorId="0">
      <text>
        <r>
          <rPr>
            <sz val="9"/>
            <color indexed="81"/>
            <rFont val="Tahoma"/>
            <family val="2"/>
          </rPr>
          <t xml:space="preserve">See notes on CFC11
</t>
        </r>
      </text>
    </comment>
    <comment ref="H234" authorId="0">
      <text>
        <r>
          <rPr>
            <sz val="9"/>
            <color indexed="81"/>
            <rFont val="Tahoma"/>
            <family val="2"/>
          </rPr>
          <t xml:space="preserve">See note on CFC-11
</t>
        </r>
      </text>
    </comment>
    <comment ref="J234" authorId="0">
      <text>
        <r>
          <rPr>
            <sz val="9"/>
            <color indexed="81"/>
            <rFont val="Tahoma"/>
            <family val="2"/>
          </rPr>
          <t xml:space="preserve">See notes on CFC11
</t>
        </r>
      </text>
    </comment>
    <comment ref="K234" authorId="0">
      <text>
        <r>
          <rPr>
            <sz val="9"/>
            <color indexed="81"/>
            <rFont val="Tahoma"/>
            <family val="2"/>
          </rPr>
          <t xml:space="preserve">See notes on CFC11
</t>
        </r>
      </text>
    </comment>
    <comment ref="H235" authorId="0">
      <text>
        <r>
          <rPr>
            <sz val="9"/>
            <color indexed="81"/>
            <rFont val="Tahoma"/>
            <family val="2"/>
          </rPr>
          <t xml:space="preserve">See note on CFC-11
</t>
        </r>
      </text>
    </comment>
    <comment ref="J235" authorId="0">
      <text>
        <r>
          <rPr>
            <sz val="9"/>
            <color indexed="81"/>
            <rFont val="Tahoma"/>
            <family val="2"/>
          </rPr>
          <t xml:space="preserve">See notes on CFC11
</t>
        </r>
      </text>
    </comment>
    <comment ref="K235" authorId="0">
      <text>
        <r>
          <rPr>
            <sz val="9"/>
            <color indexed="81"/>
            <rFont val="Tahoma"/>
            <family val="2"/>
          </rPr>
          <t xml:space="preserve">See notes on CFC11
</t>
        </r>
      </text>
    </comment>
    <comment ref="H236" authorId="0">
      <text>
        <r>
          <rPr>
            <sz val="9"/>
            <color indexed="81"/>
            <rFont val="Tahoma"/>
            <family val="2"/>
          </rPr>
          <t xml:space="preserve">See note on CFC-11
</t>
        </r>
      </text>
    </comment>
    <comment ref="J236" authorId="0">
      <text>
        <r>
          <rPr>
            <sz val="9"/>
            <color indexed="81"/>
            <rFont val="Tahoma"/>
            <family val="2"/>
          </rPr>
          <t xml:space="preserve">See notes on CFC11
</t>
        </r>
      </text>
    </comment>
    <comment ref="K236" authorId="0">
      <text>
        <r>
          <rPr>
            <sz val="9"/>
            <color indexed="81"/>
            <rFont val="Tahoma"/>
            <family val="2"/>
          </rPr>
          <t xml:space="preserve">See notes on CFC11
</t>
        </r>
      </text>
    </comment>
    <comment ref="H237" authorId="0">
      <text>
        <r>
          <rPr>
            <sz val="9"/>
            <color indexed="81"/>
            <rFont val="Tahoma"/>
            <family val="2"/>
          </rPr>
          <t xml:space="preserve">See note on CFC-11
</t>
        </r>
      </text>
    </comment>
    <comment ref="J237" authorId="0">
      <text>
        <r>
          <rPr>
            <sz val="9"/>
            <color indexed="81"/>
            <rFont val="Tahoma"/>
            <family val="2"/>
          </rPr>
          <t xml:space="preserve">See notes on CFC11
</t>
        </r>
      </text>
    </comment>
    <comment ref="K237" authorId="0">
      <text>
        <r>
          <rPr>
            <sz val="9"/>
            <color indexed="81"/>
            <rFont val="Tahoma"/>
            <family val="2"/>
          </rPr>
          <t xml:space="preserve">See notes on CFC11
</t>
        </r>
      </text>
    </comment>
    <comment ref="H238" authorId="0">
      <text>
        <r>
          <rPr>
            <sz val="9"/>
            <color indexed="81"/>
            <rFont val="Tahoma"/>
            <family val="2"/>
          </rPr>
          <t xml:space="preserve">See note on CFC-11
</t>
        </r>
      </text>
    </comment>
    <comment ref="J238" authorId="0">
      <text>
        <r>
          <rPr>
            <sz val="9"/>
            <color indexed="81"/>
            <rFont val="Tahoma"/>
            <family val="2"/>
          </rPr>
          <t xml:space="preserve">See notes on CFC11
</t>
        </r>
      </text>
    </comment>
    <comment ref="K238" authorId="0">
      <text>
        <r>
          <rPr>
            <sz val="9"/>
            <color indexed="81"/>
            <rFont val="Tahoma"/>
            <family val="2"/>
          </rPr>
          <t xml:space="preserve">See notes on CFC11
</t>
        </r>
      </text>
    </comment>
    <comment ref="H239" authorId="0">
      <text>
        <r>
          <rPr>
            <sz val="9"/>
            <color indexed="81"/>
            <rFont val="Tahoma"/>
            <family val="2"/>
          </rPr>
          <t xml:space="preserve">See note on CFC-11
</t>
        </r>
      </text>
    </comment>
    <comment ref="J239" authorId="0">
      <text>
        <r>
          <rPr>
            <sz val="9"/>
            <color indexed="81"/>
            <rFont val="Tahoma"/>
            <family val="2"/>
          </rPr>
          <t xml:space="preserve">See notes on CFC11
</t>
        </r>
      </text>
    </comment>
    <comment ref="K239" authorId="0">
      <text>
        <r>
          <rPr>
            <sz val="9"/>
            <color indexed="81"/>
            <rFont val="Tahoma"/>
            <family val="2"/>
          </rPr>
          <t xml:space="preserve">See notes on CFC11
</t>
        </r>
      </text>
    </comment>
    <comment ref="H240" authorId="0">
      <text>
        <r>
          <rPr>
            <sz val="9"/>
            <color indexed="81"/>
            <rFont val="Tahoma"/>
            <family val="2"/>
          </rPr>
          <t xml:space="preserve">See note on CFC-11
</t>
        </r>
      </text>
    </comment>
    <comment ref="J240" authorId="0">
      <text>
        <r>
          <rPr>
            <sz val="9"/>
            <color indexed="81"/>
            <rFont val="Tahoma"/>
            <family val="2"/>
          </rPr>
          <t xml:space="preserve">See notes on CFC11
</t>
        </r>
      </text>
    </comment>
    <comment ref="K240" authorId="0">
      <text>
        <r>
          <rPr>
            <sz val="9"/>
            <color indexed="81"/>
            <rFont val="Tahoma"/>
            <family val="2"/>
          </rPr>
          <t xml:space="preserve">See notes on CFC11
</t>
        </r>
      </text>
    </comment>
    <comment ref="H241" authorId="0">
      <text>
        <r>
          <rPr>
            <sz val="9"/>
            <color indexed="81"/>
            <rFont val="Tahoma"/>
            <family val="2"/>
          </rPr>
          <t xml:space="preserve">See note on CFC-11
</t>
        </r>
      </text>
    </comment>
    <comment ref="J241" authorId="0">
      <text>
        <r>
          <rPr>
            <sz val="9"/>
            <color indexed="81"/>
            <rFont val="Tahoma"/>
            <family val="2"/>
          </rPr>
          <t xml:space="preserve">See notes on CFC11
</t>
        </r>
      </text>
    </comment>
    <comment ref="K241" authorId="0">
      <text>
        <r>
          <rPr>
            <sz val="9"/>
            <color indexed="81"/>
            <rFont val="Tahoma"/>
            <family val="2"/>
          </rPr>
          <t xml:space="preserve">See notes on CFC11
</t>
        </r>
      </text>
    </comment>
    <comment ref="H242" authorId="0">
      <text>
        <r>
          <rPr>
            <sz val="9"/>
            <color indexed="81"/>
            <rFont val="Tahoma"/>
            <family val="2"/>
          </rPr>
          <t xml:space="preserve">See note on CFC-11
</t>
        </r>
      </text>
    </comment>
    <comment ref="J242" authorId="0">
      <text>
        <r>
          <rPr>
            <sz val="9"/>
            <color indexed="81"/>
            <rFont val="Tahoma"/>
            <family val="2"/>
          </rPr>
          <t xml:space="preserve">See notes on CFC11
</t>
        </r>
      </text>
    </comment>
    <comment ref="K242" authorId="0">
      <text>
        <r>
          <rPr>
            <sz val="9"/>
            <color indexed="81"/>
            <rFont val="Tahoma"/>
            <family val="2"/>
          </rPr>
          <t xml:space="preserve">See notes on CFC11
</t>
        </r>
      </text>
    </comment>
    <comment ref="H243" authorId="0">
      <text>
        <r>
          <rPr>
            <sz val="9"/>
            <color indexed="81"/>
            <rFont val="Tahoma"/>
            <family val="2"/>
          </rPr>
          <t xml:space="preserve">See note on CFC-11
</t>
        </r>
      </text>
    </comment>
    <comment ref="J243" authorId="0">
      <text>
        <r>
          <rPr>
            <sz val="9"/>
            <color indexed="81"/>
            <rFont val="Tahoma"/>
            <family val="2"/>
          </rPr>
          <t xml:space="preserve">See notes on CFC11
</t>
        </r>
      </text>
    </comment>
    <comment ref="K243" authorId="0">
      <text>
        <r>
          <rPr>
            <sz val="9"/>
            <color indexed="81"/>
            <rFont val="Tahoma"/>
            <family val="2"/>
          </rPr>
          <t xml:space="preserve">See notes on CFC11
</t>
        </r>
      </text>
    </comment>
    <comment ref="H244" authorId="0">
      <text>
        <r>
          <rPr>
            <sz val="9"/>
            <color indexed="81"/>
            <rFont val="Tahoma"/>
            <family val="2"/>
          </rPr>
          <t xml:space="preserve">See note on CFC-11
</t>
        </r>
      </text>
    </comment>
    <comment ref="J244" authorId="0">
      <text>
        <r>
          <rPr>
            <sz val="9"/>
            <color indexed="81"/>
            <rFont val="Tahoma"/>
            <family val="2"/>
          </rPr>
          <t xml:space="preserve">See notes on CFC11
</t>
        </r>
      </text>
    </comment>
    <comment ref="K244" authorId="0">
      <text>
        <r>
          <rPr>
            <sz val="9"/>
            <color indexed="81"/>
            <rFont val="Tahoma"/>
            <family val="2"/>
          </rPr>
          <t xml:space="preserve">See notes on CFC11
</t>
        </r>
      </text>
    </comment>
    <comment ref="H245" authorId="0">
      <text>
        <r>
          <rPr>
            <sz val="9"/>
            <color indexed="81"/>
            <rFont val="Tahoma"/>
            <family val="2"/>
          </rPr>
          <t xml:space="preserve">See note on CFC-11
</t>
        </r>
      </text>
    </comment>
    <comment ref="J245" authorId="0">
      <text>
        <r>
          <rPr>
            <sz val="9"/>
            <color indexed="81"/>
            <rFont val="Tahoma"/>
            <family val="2"/>
          </rPr>
          <t xml:space="preserve">See notes on CFC11
</t>
        </r>
      </text>
    </comment>
    <comment ref="K245" authorId="0">
      <text>
        <r>
          <rPr>
            <sz val="9"/>
            <color indexed="81"/>
            <rFont val="Tahoma"/>
            <family val="2"/>
          </rPr>
          <t xml:space="preserve">See notes on CFC11
</t>
        </r>
      </text>
    </comment>
    <comment ref="H246" authorId="0">
      <text>
        <r>
          <rPr>
            <sz val="9"/>
            <color indexed="81"/>
            <rFont val="Tahoma"/>
            <family val="2"/>
          </rPr>
          <t xml:space="preserve">See note on CFC-11
</t>
        </r>
      </text>
    </comment>
    <comment ref="J246" authorId="0">
      <text>
        <r>
          <rPr>
            <sz val="9"/>
            <color indexed="81"/>
            <rFont val="Tahoma"/>
            <family val="2"/>
          </rPr>
          <t xml:space="preserve">See notes on CFC11
</t>
        </r>
      </text>
    </comment>
    <comment ref="K246" authorId="0">
      <text>
        <r>
          <rPr>
            <sz val="9"/>
            <color indexed="81"/>
            <rFont val="Tahoma"/>
            <family val="2"/>
          </rPr>
          <t xml:space="preserve">See notes on CFC11
</t>
        </r>
      </text>
    </comment>
    <comment ref="H247" authorId="0">
      <text>
        <r>
          <rPr>
            <sz val="9"/>
            <color indexed="81"/>
            <rFont val="Tahoma"/>
            <family val="2"/>
          </rPr>
          <t xml:space="preserve">See note on CFC-11
</t>
        </r>
      </text>
    </comment>
    <comment ref="J247" authorId="0">
      <text>
        <r>
          <rPr>
            <sz val="9"/>
            <color indexed="81"/>
            <rFont val="Tahoma"/>
            <family val="2"/>
          </rPr>
          <t xml:space="preserve">See notes on CFC11
</t>
        </r>
      </text>
    </comment>
    <comment ref="K247" authorId="0">
      <text>
        <r>
          <rPr>
            <sz val="9"/>
            <color indexed="81"/>
            <rFont val="Tahoma"/>
            <family val="2"/>
          </rPr>
          <t xml:space="preserve">See notes on CFC11
</t>
        </r>
      </text>
    </comment>
    <comment ref="H248" authorId="0">
      <text>
        <r>
          <rPr>
            <sz val="9"/>
            <color indexed="81"/>
            <rFont val="Tahoma"/>
            <family val="2"/>
          </rPr>
          <t xml:space="preserve">See note on CFC-11
</t>
        </r>
      </text>
    </comment>
    <comment ref="J248" authorId="0">
      <text>
        <r>
          <rPr>
            <sz val="9"/>
            <color indexed="81"/>
            <rFont val="Tahoma"/>
            <family val="2"/>
          </rPr>
          <t xml:space="preserve">See notes on CFC11
</t>
        </r>
      </text>
    </comment>
    <comment ref="K248" authorId="0">
      <text>
        <r>
          <rPr>
            <sz val="9"/>
            <color indexed="81"/>
            <rFont val="Tahoma"/>
            <family val="2"/>
          </rPr>
          <t xml:space="preserve">See notes on CFC11
</t>
        </r>
      </text>
    </comment>
    <comment ref="H249" authorId="0">
      <text>
        <r>
          <rPr>
            <sz val="9"/>
            <color indexed="81"/>
            <rFont val="Tahoma"/>
            <family val="2"/>
          </rPr>
          <t xml:space="preserve">See note on CFC-11
</t>
        </r>
      </text>
    </comment>
    <comment ref="J249" authorId="0">
      <text>
        <r>
          <rPr>
            <sz val="9"/>
            <color indexed="81"/>
            <rFont val="Tahoma"/>
            <family val="2"/>
          </rPr>
          <t xml:space="preserve">See notes on CFC11
</t>
        </r>
      </text>
    </comment>
    <comment ref="K249" authorId="0">
      <text>
        <r>
          <rPr>
            <sz val="9"/>
            <color indexed="81"/>
            <rFont val="Tahoma"/>
            <family val="2"/>
          </rPr>
          <t xml:space="preserve">See notes on CFC11
</t>
        </r>
      </text>
    </comment>
    <comment ref="H250" authorId="0">
      <text>
        <r>
          <rPr>
            <sz val="9"/>
            <color indexed="81"/>
            <rFont val="Tahoma"/>
            <family val="2"/>
          </rPr>
          <t xml:space="preserve">See note on CFC-11
</t>
        </r>
      </text>
    </comment>
    <comment ref="J250" authorId="0">
      <text>
        <r>
          <rPr>
            <sz val="9"/>
            <color indexed="81"/>
            <rFont val="Tahoma"/>
            <family val="2"/>
          </rPr>
          <t xml:space="preserve">See notes on CFC11
</t>
        </r>
      </text>
    </comment>
    <comment ref="K250" authorId="0">
      <text>
        <r>
          <rPr>
            <sz val="9"/>
            <color indexed="81"/>
            <rFont val="Tahoma"/>
            <family val="2"/>
          </rPr>
          <t xml:space="preserve">See notes on CFC11
</t>
        </r>
      </text>
    </comment>
    <comment ref="D251" authorId="0">
      <text>
        <r>
          <rPr>
            <sz val="9"/>
            <color indexed="81"/>
            <rFont val="Tahoma"/>
            <family val="2"/>
          </rPr>
          <t xml:space="preserve">IPCC 1994
</t>
        </r>
      </text>
    </comment>
    <comment ref="H251" authorId="0">
      <text>
        <r>
          <rPr>
            <sz val="9"/>
            <color indexed="81"/>
            <rFont val="Tahoma"/>
            <family val="2"/>
          </rPr>
          <t xml:space="preserve">See note on CFC-11
</t>
        </r>
      </text>
    </comment>
    <comment ref="J251" authorId="0">
      <text>
        <r>
          <rPr>
            <sz val="9"/>
            <color indexed="81"/>
            <rFont val="Tahoma"/>
            <family val="2"/>
          </rPr>
          <t xml:space="preserve">See notes on CFC11
</t>
        </r>
      </text>
    </comment>
    <comment ref="K251" authorId="0">
      <text>
        <r>
          <rPr>
            <sz val="9"/>
            <color indexed="81"/>
            <rFont val="Tahoma"/>
            <family val="2"/>
          </rPr>
          <t xml:space="preserve">See notes on CFC11
</t>
        </r>
      </text>
    </comment>
    <comment ref="D252" authorId="0">
      <text>
        <r>
          <rPr>
            <sz val="9"/>
            <color indexed="81"/>
            <rFont val="Tahoma"/>
            <family val="2"/>
          </rPr>
          <t xml:space="preserve">IPCC 1994
</t>
        </r>
      </text>
    </comment>
    <comment ref="H252" authorId="0">
      <text>
        <r>
          <rPr>
            <sz val="9"/>
            <color indexed="81"/>
            <rFont val="Tahoma"/>
            <family val="2"/>
          </rPr>
          <t xml:space="preserve">See note on CFC-11
</t>
        </r>
      </text>
    </comment>
    <comment ref="J252" authorId="0">
      <text>
        <r>
          <rPr>
            <sz val="9"/>
            <color indexed="81"/>
            <rFont val="Tahoma"/>
            <family val="2"/>
          </rPr>
          <t xml:space="preserve">See notes on CFC11
</t>
        </r>
      </text>
    </comment>
    <comment ref="K252" authorId="0">
      <text>
        <r>
          <rPr>
            <sz val="9"/>
            <color indexed="81"/>
            <rFont val="Tahoma"/>
            <family val="2"/>
          </rPr>
          <t xml:space="preserve">See notes on CFC11
</t>
        </r>
      </text>
    </comment>
    <comment ref="D253" authorId="0">
      <text>
        <r>
          <rPr>
            <sz val="9"/>
            <color indexed="81"/>
            <rFont val="Tahoma"/>
            <family val="2"/>
          </rPr>
          <t xml:space="preserve">IPCC 1994
</t>
        </r>
      </text>
    </comment>
    <comment ref="H253" authorId="0">
      <text>
        <r>
          <rPr>
            <sz val="9"/>
            <color indexed="81"/>
            <rFont val="Tahoma"/>
            <family val="2"/>
          </rPr>
          <t xml:space="preserve">See note on CFC-11
</t>
        </r>
      </text>
    </comment>
    <comment ref="J253" authorId="0">
      <text>
        <r>
          <rPr>
            <sz val="9"/>
            <color indexed="81"/>
            <rFont val="Tahoma"/>
            <family val="2"/>
          </rPr>
          <t xml:space="preserve">See notes on CFC11
</t>
        </r>
      </text>
    </comment>
    <comment ref="K253" authorId="0">
      <text>
        <r>
          <rPr>
            <sz val="9"/>
            <color indexed="81"/>
            <rFont val="Tahoma"/>
            <family val="2"/>
          </rPr>
          <t xml:space="preserve">See notes on CFC11
</t>
        </r>
      </text>
    </comment>
    <comment ref="D254" authorId="0">
      <text>
        <r>
          <rPr>
            <sz val="9"/>
            <color indexed="81"/>
            <rFont val="Tahoma"/>
            <family val="2"/>
          </rPr>
          <t xml:space="preserve">IPCC 1994
</t>
        </r>
      </text>
    </comment>
    <comment ref="H254" authorId="0">
      <text>
        <r>
          <rPr>
            <sz val="9"/>
            <color indexed="81"/>
            <rFont val="Tahoma"/>
            <family val="2"/>
          </rPr>
          <t xml:space="preserve">See note on CFC-11
</t>
        </r>
      </text>
    </comment>
    <comment ref="J254" authorId="0">
      <text>
        <r>
          <rPr>
            <sz val="9"/>
            <color indexed="81"/>
            <rFont val="Tahoma"/>
            <family val="2"/>
          </rPr>
          <t xml:space="preserve">See notes on CFC11
</t>
        </r>
      </text>
    </comment>
    <comment ref="K254" authorId="0">
      <text>
        <r>
          <rPr>
            <sz val="9"/>
            <color indexed="81"/>
            <rFont val="Tahoma"/>
            <family val="2"/>
          </rPr>
          <t xml:space="preserve">See notes on CFC11
</t>
        </r>
      </text>
    </comment>
    <comment ref="D255" authorId="0">
      <text>
        <r>
          <rPr>
            <sz val="9"/>
            <color indexed="81"/>
            <rFont val="Tahoma"/>
            <family val="2"/>
          </rPr>
          <t xml:space="preserve">No GWP estimation found in literature, the value is an estimated magnutude assuming similarity with H,F and Br containing haloorganic compounds.
</t>
        </r>
      </text>
    </comment>
    <comment ref="H255" authorId="0">
      <text>
        <r>
          <rPr>
            <sz val="9"/>
            <color indexed="81"/>
            <rFont val="Tahoma"/>
            <family val="2"/>
          </rPr>
          <t xml:space="preserve">See note on CFC-11
</t>
        </r>
      </text>
    </comment>
    <comment ref="J255" authorId="0">
      <text>
        <r>
          <rPr>
            <sz val="9"/>
            <color indexed="81"/>
            <rFont val="Tahoma"/>
            <family val="2"/>
          </rPr>
          <t xml:space="preserve">See notes on CFC11
</t>
        </r>
      </text>
    </comment>
    <comment ref="K255" authorId="0">
      <text>
        <r>
          <rPr>
            <sz val="9"/>
            <color indexed="81"/>
            <rFont val="Tahoma"/>
            <family val="2"/>
          </rPr>
          <t xml:space="preserve">See notes on CFC11
</t>
        </r>
      </text>
    </comment>
    <comment ref="D256" authorId="0">
      <text>
        <r>
          <rPr>
            <sz val="9"/>
            <color indexed="81"/>
            <rFont val="Tahoma"/>
            <family val="2"/>
          </rPr>
          <t xml:space="preserve">No GWP estimation found in literature, the value is an estimated magnutude assuming similarity with H,F and Br containing haloorganic compounds.
</t>
        </r>
      </text>
    </comment>
    <comment ref="G256" authorId="0">
      <text>
        <r>
          <rPr>
            <sz val="9"/>
            <color indexed="81"/>
            <rFont val="Tahoma"/>
            <family val="2"/>
          </rPr>
          <t>Uncertainty factor estimated from value interval given by USEPA list on
Class I Ozone-depleting Substances 2014</t>
        </r>
      </text>
    </comment>
    <comment ref="H256" authorId="0">
      <text>
        <r>
          <rPr>
            <sz val="9"/>
            <color indexed="81"/>
            <rFont val="Tahoma"/>
            <family val="2"/>
          </rPr>
          <t xml:space="preserve">See note on CFC-11
</t>
        </r>
      </text>
    </comment>
    <comment ref="J256" authorId="0">
      <text>
        <r>
          <rPr>
            <sz val="9"/>
            <color indexed="81"/>
            <rFont val="Tahoma"/>
            <family val="2"/>
          </rPr>
          <t xml:space="preserve">See notes on CFC11
</t>
        </r>
      </text>
    </comment>
    <comment ref="K256" authorId="0">
      <text>
        <r>
          <rPr>
            <sz val="9"/>
            <color indexed="81"/>
            <rFont val="Tahoma"/>
            <family val="2"/>
          </rPr>
          <t xml:space="preserve">See notes on CFC11
</t>
        </r>
      </text>
    </comment>
    <comment ref="D257" authorId="0">
      <text>
        <r>
          <rPr>
            <sz val="9"/>
            <color indexed="81"/>
            <rFont val="Tahoma"/>
            <family val="2"/>
          </rPr>
          <t xml:space="preserve">No GWP estimation found in literature, the value is an estimated magnutude assuming similarity with H,F and Br containing haloorganic compounds.
</t>
        </r>
      </text>
    </comment>
    <comment ref="H257" authorId="0">
      <text>
        <r>
          <rPr>
            <sz val="9"/>
            <color indexed="81"/>
            <rFont val="Tahoma"/>
            <family val="2"/>
          </rPr>
          <t xml:space="preserve">See note on CFC-11
</t>
        </r>
      </text>
    </comment>
    <comment ref="J257" authorId="0">
      <text>
        <r>
          <rPr>
            <sz val="9"/>
            <color indexed="81"/>
            <rFont val="Tahoma"/>
            <family val="2"/>
          </rPr>
          <t xml:space="preserve">See notes on CFC11
</t>
        </r>
      </text>
    </comment>
    <comment ref="K257" authorId="0">
      <text>
        <r>
          <rPr>
            <sz val="9"/>
            <color indexed="81"/>
            <rFont val="Tahoma"/>
            <family val="2"/>
          </rPr>
          <t xml:space="preserve">See notes on CFC11
</t>
        </r>
      </text>
    </comment>
    <comment ref="D258" authorId="0">
      <text>
        <r>
          <rPr>
            <sz val="9"/>
            <color indexed="81"/>
            <rFont val="Tahoma"/>
            <family val="2"/>
          </rPr>
          <t xml:space="preserve">No GWP estimation found in literature, the value is an estimated magnutude assuming similarity with H,F and Br containing haloorganic compounds.
</t>
        </r>
      </text>
    </comment>
    <comment ref="H258" authorId="0">
      <text>
        <r>
          <rPr>
            <sz val="9"/>
            <color indexed="81"/>
            <rFont val="Tahoma"/>
            <family val="2"/>
          </rPr>
          <t xml:space="preserve">See note on CFC-11
</t>
        </r>
      </text>
    </comment>
    <comment ref="J258" authorId="0">
      <text>
        <r>
          <rPr>
            <sz val="9"/>
            <color indexed="81"/>
            <rFont val="Tahoma"/>
            <family val="2"/>
          </rPr>
          <t xml:space="preserve">See notes on CFC11
</t>
        </r>
      </text>
    </comment>
    <comment ref="K258" authorId="0">
      <text>
        <r>
          <rPr>
            <sz val="9"/>
            <color indexed="81"/>
            <rFont val="Tahoma"/>
            <family val="2"/>
          </rPr>
          <t xml:space="preserve">See notes on CFC11
</t>
        </r>
      </text>
    </comment>
    <comment ref="D259" authorId="0">
      <text>
        <r>
          <rPr>
            <sz val="9"/>
            <color indexed="81"/>
            <rFont val="Tahoma"/>
            <family val="2"/>
          </rPr>
          <t xml:space="preserve">No GWP estimation found in literature, the value is an estimated magnutude assuming similarity with H,F and Br containing haloorganic compounds.
</t>
        </r>
      </text>
    </comment>
    <comment ref="H259" authorId="0">
      <text>
        <r>
          <rPr>
            <sz val="9"/>
            <color indexed="81"/>
            <rFont val="Tahoma"/>
            <family val="2"/>
          </rPr>
          <t xml:space="preserve">See note on CFC-11
</t>
        </r>
      </text>
    </comment>
    <comment ref="J259" authorId="0">
      <text>
        <r>
          <rPr>
            <sz val="9"/>
            <color indexed="81"/>
            <rFont val="Tahoma"/>
            <family val="2"/>
          </rPr>
          <t xml:space="preserve">See notes on CFC11
</t>
        </r>
      </text>
    </comment>
    <comment ref="K259" authorId="0">
      <text>
        <r>
          <rPr>
            <sz val="9"/>
            <color indexed="81"/>
            <rFont val="Tahoma"/>
            <family val="2"/>
          </rPr>
          <t xml:space="preserve">See notes on CFC11
</t>
        </r>
      </text>
    </comment>
    <comment ref="D260" authorId="0">
      <text>
        <r>
          <rPr>
            <sz val="9"/>
            <color indexed="81"/>
            <rFont val="Tahoma"/>
            <family val="2"/>
          </rPr>
          <t xml:space="preserve">No GWP estimation found in literature, the value is an estimated magnutude assuming similarity with H,F and Br containing haloorganic compounds.
</t>
        </r>
      </text>
    </comment>
    <comment ref="H260" authorId="0">
      <text>
        <r>
          <rPr>
            <sz val="9"/>
            <color indexed="81"/>
            <rFont val="Tahoma"/>
            <family val="2"/>
          </rPr>
          <t xml:space="preserve">See note on CFC-11
</t>
        </r>
      </text>
    </comment>
    <comment ref="J260" authorId="0">
      <text>
        <r>
          <rPr>
            <sz val="9"/>
            <color indexed="81"/>
            <rFont val="Tahoma"/>
            <family val="2"/>
          </rPr>
          <t xml:space="preserve">See notes on CFC11
</t>
        </r>
      </text>
    </comment>
    <comment ref="K260" authorId="0">
      <text>
        <r>
          <rPr>
            <sz val="9"/>
            <color indexed="81"/>
            <rFont val="Tahoma"/>
            <family val="2"/>
          </rPr>
          <t xml:space="preserve">See notes on CFC11
</t>
        </r>
      </text>
    </comment>
    <comment ref="D261" authorId="0">
      <text>
        <r>
          <rPr>
            <sz val="9"/>
            <color indexed="81"/>
            <rFont val="Tahoma"/>
            <family val="2"/>
          </rPr>
          <t xml:space="preserve">No GWP estimation found in literature, the value is an estimated magnutude assuming similarity with H,F and Br containing haloorganic compounds.
</t>
        </r>
      </text>
    </comment>
    <comment ref="H261" authorId="0">
      <text>
        <r>
          <rPr>
            <sz val="9"/>
            <color indexed="81"/>
            <rFont val="Tahoma"/>
            <family val="2"/>
          </rPr>
          <t xml:space="preserve">See note on CFC-11
</t>
        </r>
      </text>
    </comment>
    <comment ref="J261" authorId="0">
      <text>
        <r>
          <rPr>
            <sz val="9"/>
            <color indexed="81"/>
            <rFont val="Tahoma"/>
            <family val="2"/>
          </rPr>
          <t xml:space="preserve">See notes on CFC11
</t>
        </r>
      </text>
    </comment>
    <comment ref="K261" authorId="0">
      <text>
        <r>
          <rPr>
            <sz val="9"/>
            <color indexed="81"/>
            <rFont val="Tahoma"/>
            <family val="2"/>
          </rPr>
          <t xml:space="preserve">See notes on CFC11
</t>
        </r>
      </text>
    </comment>
    <comment ref="D262" authorId="0">
      <text>
        <r>
          <rPr>
            <sz val="9"/>
            <color indexed="81"/>
            <rFont val="Tahoma"/>
            <family val="2"/>
          </rPr>
          <t xml:space="preserve">No GWP estimation found in literature, the value is an estimated magnutude assuming similarity with H,F and Br containing haloorganic compounds.
</t>
        </r>
      </text>
    </comment>
    <comment ref="H262" authorId="0">
      <text>
        <r>
          <rPr>
            <sz val="9"/>
            <color indexed="81"/>
            <rFont val="Tahoma"/>
            <family val="2"/>
          </rPr>
          <t xml:space="preserve">See note on CFC-11
</t>
        </r>
      </text>
    </comment>
    <comment ref="J262" authorId="0">
      <text>
        <r>
          <rPr>
            <sz val="9"/>
            <color indexed="81"/>
            <rFont val="Tahoma"/>
            <family val="2"/>
          </rPr>
          <t xml:space="preserve">See notes on CFC11
</t>
        </r>
      </text>
    </comment>
    <comment ref="K262" authorId="0">
      <text>
        <r>
          <rPr>
            <sz val="9"/>
            <color indexed="81"/>
            <rFont val="Tahoma"/>
            <family val="2"/>
          </rPr>
          <t xml:space="preserve">See notes on CFC11
</t>
        </r>
      </text>
    </comment>
    <comment ref="D263" authorId="0">
      <text>
        <r>
          <rPr>
            <sz val="9"/>
            <color indexed="81"/>
            <rFont val="Tahoma"/>
            <family val="2"/>
          </rPr>
          <t xml:space="preserve">No GWP estimation found in literature, the value is an estimated magnutude assuming similarity with H,F and Br containing haloorganic compounds.
</t>
        </r>
      </text>
    </comment>
    <comment ref="H263" authorId="0">
      <text>
        <r>
          <rPr>
            <sz val="9"/>
            <color indexed="81"/>
            <rFont val="Tahoma"/>
            <family val="2"/>
          </rPr>
          <t xml:space="preserve">See note on CFC-11
</t>
        </r>
      </text>
    </comment>
    <comment ref="J263" authorId="0">
      <text>
        <r>
          <rPr>
            <sz val="9"/>
            <color indexed="81"/>
            <rFont val="Tahoma"/>
            <family val="2"/>
          </rPr>
          <t xml:space="preserve">See notes on CFC11
</t>
        </r>
      </text>
    </comment>
    <comment ref="K263" authorId="0">
      <text>
        <r>
          <rPr>
            <sz val="9"/>
            <color indexed="81"/>
            <rFont val="Tahoma"/>
            <family val="2"/>
          </rPr>
          <t xml:space="preserve">See notes on CFC11
</t>
        </r>
      </text>
    </comment>
    <comment ref="D264" authorId="0">
      <text>
        <r>
          <rPr>
            <sz val="9"/>
            <color indexed="81"/>
            <rFont val="Tahoma"/>
            <family val="2"/>
          </rPr>
          <t xml:space="preserve">No GWP estimation found in literature, the value is an estimated magnutude assuming similarity with H,F and Br containing haloorganic compounds.
</t>
        </r>
      </text>
    </comment>
    <comment ref="H264" authorId="0">
      <text>
        <r>
          <rPr>
            <sz val="9"/>
            <color indexed="81"/>
            <rFont val="Tahoma"/>
            <family val="2"/>
          </rPr>
          <t xml:space="preserve">See note on CFC-11
</t>
        </r>
      </text>
    </comment>
    <comment ref="J264" authorId="0">
      <text>
        <r>
          <rPr>
            <sz val="9"/>
            <color indexed="81"/>
            <rFont val="Tahoma"/>
            <family val="2"/>
          </rPr>
          <t xml:space="preserve">See notes on CFC11
</t>
        </r>
      </text>
    </comment>
    <comment ref="K264" authorId="0">
      <text>
        <r>
          <rPr>
            <sz val="9"/>
            <color indexed="81"/>
            <rFont val="Tahoma"/>
            <family val="2"/>
          </rPr>
          <t xml:space="preserve">See notes on CFC11
</t>
        </r>
      </text>
    </comment>
    <comment ref="D265" authorId="0">
      <text>
        <r>
          <rPr>
            <sz val="9"/>
            <color indexed="81"/>
            <rFont val="Tahoma"/>
            <family val="2"/>
          </rPr>
          <t xml:space="preserve">No GWP estimation found in literature, the value is an estimated magnutude assuming similarity with H,F and Br containing haloorganic compounds.
</t>
        </r>
      </text>
    </comment>
    <comment ref="H265" authorId="0">
      <text>
        <r>
          <rPr>
            <sz val="9"/>
            <color indexed="81"/>
            <rFont val="Tahoma"/>
            <family val="2"/>
          </rPr>
          <t xml:space="preserve">See note on CFC-11
</t>
        </r>
      </text>
    </comment>
    <comment ref="J265" authorId="0">
      <text>
        <r>
          <rPr>
            <sz val="9"/>
            <color indexed="81"/>
            <rFont val="Tahoma"/>
            <family val="2"/>
          </rPr>
          <t xml:space="preserve">See notes on CFC11
</t>
        </r>
      </text>
    </comment>
    <comment ref="K265" authorId="0">
      <text>
        <r>
          <rPr>
            <sz val="9"/>
            <color indexed="81"/>
            <rFont val="Tahoma"/>
            <family val="2"/>
          </rPr>
          <t xml:space="preserve">See notes on CFC11
</t>
        </r>
      </text>
    </comment>
    <comment ref="D266" authorId="0">
      <text>
        <r>
          <rPr>
            <sz val="9"/>
            <color indexed="81"/>
            <rFont val="Tahoma"/>
            <family val="2"/>
          </rPr>
          <t xml:space="preserve">No GWP estimation found in literature, the value is an estimated magnutude assuming similarity with H,F and Br containing haloorganic compounds.
</t>
        </r>
      </text>
    </comment>
    <comment ref="H266" authorId="0">
      <text>
        <r>
          <rPr>
            <sz val="9"/>
            <color indexed="81"/>
            <rFont val="Tahoma"/>
            <family val="2"/>
          </rPr>
          <t xml:space="preserve">See note on CFC-11
</t>
        </r>
      </text>
    </comment>
    <comment ref="J266" authorId="0">
      <text>
        <r>
          <rPr>
            <sz val="9"/>
            <color indexed="81"/>
            <rFont val="Tahoma"/>
            <family val="2"/>
          </rPr>
          <t xml:space="preserve">See notes on CFC11
</t>
        </r>
      </text>
    </comment>
    <comment ref="K266" authorId="0">
      <text>
        <r>
          <rPr>
            <sz val="9"/>
            <color indexed="81"/>
            <rFont val="Tahoma"/>
            <family val="2"/>
          </rPr>
          <t xml:space="preserve">See notes on CFC11
</t>
        </r>
      </text>
    </comment>
    <comment ref="D267" authorId="0">
      <text>
        <r>
          <rPr>
            <sz val="9"/>
            <color indexed="81"/>
            <rFont val="Tahoma"/>
            <family val="2"/>
          </rPr>
          <t xml:space="preserve">No GWP estimation found in literature, the value is an estimated magnutude assuming similarity with H,F and Br containing haloorganic compounds.
</t>
        </r>
      </text>
    </comment>
    <comment ref="H267" authorId="0">
      <text>
        <r>
          <rPr>
            <sz val="9"/>
            <color indexed="81"/>
            <rFont val="Tahoma"/>
            <family val="2"/>
          </rPr>
          <t xml:space="preserve">See note on CFC-11
</t>
        </r>
      </text>
    </comment>
    <comment ref="J267" authorId="0">
      <text>
        <r>
          <rPr>
            <sz val="9"/>
            <color indexed="81"/>
            <rFont val="Tahoma"/>
            <family val="2"/>
          </rPr>
          <t xml:space="preserve">See notes on CFC11
</t>
        </r>
      </text>
    </comment>
    <comment ref="K267" authorId="0">
      <text>
        <r>
          <rPr>
            <sz val="9"/>
            <color indexed="81"/>
            <rFont val="Tahoma"/>
            <family val="2"/>
          </rPr>
          <t xml:space="preserve">See notes on CFC11
</t>
        </r>
      </text>
    </comment>
    <comment ref="D268" authorId="0">
      <text>
        <r>
          <rPr>
            <sz val="9"/>
            <color indexed="81"/>
            <rFont val="Tahoma"/>
            <family val="2"/>
          </rPr>
          <t xml:space="preserve">No GWP estimation found in literature, the value is an estimated magnutude assuming similarity with H,F and Br containing haloorganic compounds.
</t>
        </r>
      </text>
    </comment>
    <comment ref="H268" authorId="0">
      <text>
        <r>
          <rPr>
            <sz val="9"/>
            <color indexed="81"/>
            <rFont val="Tahoma"/>
            <family val="2"/>
          </rPr>
          <t xml:space="preserve">See note on CFC-11
</t>
        </r>
      </text>
    </comment>
    <comment ref="J268" authorId="0">
      <text>
        <r>
          <rPr>
            <sz val="9"/>
            <color indexed="81"/>
            <rFont val="Tahoma"/>
            <family val="2"/>
          </rPr>
          <t xml:space="preserve">See notes on CFC11
</t>
        </r>
      </text>
    </comment>
    <comment ref="K268" authorId="0">
      <text>
        <r>
          <rPr>
            <sz val="9"/>
            <color indexed="81"/>
            <rFont val="Tahoma"/>
            <family val="2"/>
          </rPr>
          <t xml:space="preserve">See notes on CFC11
</t>
        </r>
      </text>
    </comment>
    <comment ref="D269" authorId="0">
      <text>
        <r>
          <rPr>
            <sz val="9"/>
            <color indexed="81"/>
            <rFont val="Tahoma"/>
            <family val="2"/>
          </rPr>
          <t xml:space="preserve">No GWP estimation found in literature, the value is an estimated magnutude assuming similarity with H,F and Br containing haloorganic compounds.
</t>
        </r>
      </text>
    </comment>
    <comment ref="H269" authorId="0">
      <text>
        <r>
          <rPr>
            <sz val="9"/>
            <color indexed="81"/>
            <rFont val="Tahoma"/>
            <family val="2"/>
          </rPr>
          <t xml:space="preserve">See note on CFC-11
</t>
        </r>
      </text>
    </comment>
    <comment ref="J269" authorId="0">
      <text>
        <r>
          <rPr>
            <sz val="9"/>
            <color indexed="81"/>
            <rFont val="Tahoma"/>
            <family val="2"/>
          </rPr>
          <t xml:space="preserve">See notes on CFC11
</t>
        </r>
      </text>
    </comment>
    <comment ref="K269" authorId="0">
      <text>
        <r>
          <rPr>
            <sz val="9"/>
            <color indexed="81"/>
            <rFont val="Tahoma"/>
            <family val="2"/>
          </rPr>
          <t xml:space="preserve">See notes on CFC11
</t>
        </r>
      </text>
    </comment>
    <comment ref="D270" authorId="0">
      <text>
        <r>
          <rPr>
            <sz val="9"/>
            <color indexed="81"/>
            <rFont val="Tahoma"/>
            <family val="2"/>
          </rPr>
          <t xml:space="preserve">No GWP estimation found in literature, the value is an estimated magnutude assuming similarity with H,F and Br containing haloorganic compounds.
</t>
        </r>
      </text>
    </comment>
    <comment ref="H270" authorId="0">
      <text>
        <r>
          <rPr>
            <sz val="9"/>
            <color indexed="81"/>
            <rFont val="Tahoma"/>
            <family val="2"/>
          </rPr>
          <t xml:space="preserve">See note on CFC-11
</t>
        </r>
      </text>
    </comment>
    <comment ref="J270" authorId="0">
      <text>
        <r>
          <rPr>
            <sz val="9"/>
            <color indexed="81"/>
            <rFont val="Tahoma"/>
            <family val="2"/>
          </rPr>
          <t xml:space="preserve">See notes on CFC11
</t>
        </r>
      </text>
    </comment>
    <comment ref="K270" authorId="0">
      <text>
        <r>
          <rPr>
            <sz val="9"/>
            <color indexed="81"/>
            <rFont val="Tahoma"/>
            <family val="2"/>
          </rPr>
          <t xml:space="preserve">See notes on CFC11
</t>
        </r>
      </text>
    </comment>
    <comment ref="D271" authorId="0">
      <text>
        <r>
          <rPr>
            <sz val="9"/>
            <color indexed="81"/>
            <rFont val="Tahoma"/>
            <family val="2"/>
          </rPr>
          <t xml:space="preserve">No GWP estimation found in literature, the value is an estimated magnutude assuming similarity with H,F and Br containing haloorganic compounds.
</t>
        </r>
      </text>
    </comment>
    <comment ref="H271" authorId="0">
      <text>
        <r>
          <rPr>
            <sz val="9"/>
            <color indexed="81"/>
            <rFont val="Tahoma"/>
            <family val="2"/>
          </rPr>
          <t xml:space="preserve">See note on CFC-11
</t>
        </r>
      </text>
    </comment>
    <comment ref="J271" authorId="0">
      <text>
        <r>
          <rPr>
            <sz val="9"/>
            <color indexed="81"/>
            <rFont val="Tahoma"/>
            <family val="2"/>
          </rPr>
          <t xml:space="preserve">See notes on CFC11
</t>
        </r>
      </text>
    </comment>
    <comment ref="K271" authorId="0">
      <text>
        <r>
          <rPr>
            <sz val="9"/>
            <color indexed="81"/>
            <rFont val="Tahoma"/>
            <family val="2"/>
          </rPr>
          <t xml:space="preserve">See notes on CFC11
</t>
        </r>
      </text>
    </comment>
    <comment ref="D272" authorId="0">
      <text>
        <r>
          <rPr>
            <sz val="9"/>
            <color indexed="81"/>
            <rFont val="Tahoma"/>
            <family val="2"/>
          </rPr>
          <t xml:space="preserve">No GWP estimation found in literature, the value is an estimated magnutude assuming similarity with H,F and Br containing haloorganic compounds.
</t>
        </r>
      </text>
    </comment>
    <comment ref="H272" authorId="0">
      <text>
        <r>
          <rPr>
            <sz val="9"/>
            <color indexed="81"/>
            <rFont val="Tahoma"/>
            <family val="2"/>
          </rPr>
          <t xml:space="preserve">See note on CFC-11
</t>
        </r>
      </text>
    </comment>
    <comment ref="J272" authorId="0">
      <text>
        <r>
          <rPr>
            <sz val="9"/>
            <color indexed="81"/>
            <rFont val="Tahoma"/>
            <family val="2"/>
          </rPr>
          <t xml:space="preserve">See notes on CFC11
</t>
        </r>
      </text>
    </comment>
    <comment ref="K272" authorId="0">
      <text>
        <r>
          <rPr>
            <sz val="9"/>
            <color indexed="81"/>
            <rFont val="Tahoma"/>
            <family val="2"/>
          </rPr>
          <t xml:space="preserve">See notes on CFC11
</t>
        </r>
      </text>
    </comment>
    <comment ref="D273" authorId="0">
      <text>
        <r>
          <rPr>
            <sz val="9"/>
            <color indexed="81"/>
            <rFont val="Tahoma"/>
            <family val="2"/>
          </rPr>
          <t xml:space="preserve">No GWP estimation found in literature, the value is an estimated magnutude assuming similarity with H,F and Br containing haloorganic compounds.
</t>
        </r>
      </text>
    </comment>
    <comment ref="H273" authorId="0">
      <text>
        <r>
          <rPr>
            <sz val="9"/>
            <color indexed="81"/>
            <rFont val="Tahoma"/>
            <family val="2"/>
          </rPr>
          <t xml:space="preserve">See note on CFC-11
</t>
        </r>
      </text>
    </comment>
    <comment ref="J273" authorId="0">
      <text>
        <r>
          <rPr>
            <sz val="9"/>
            <color indexed="81"/>
            <rFont val="Tahoma"/>
            <family val="2"/>
          </rPr>
          <t xml:space="preserve">See notes on CFC11
</t>
        </r>
      </text>
    </comment>
    <comment ref="K273" authorId="0">
      <text>
        <r>
          <rPr>
            <sz val="9"/>
            <color indexed="81"/>
            <rFont val="Tahoma"/>
            <family val="2"/>
          </rPr>
          <t xml:space="preserve">See notes on CFC11
</t>
        </r>
      </text>
    </comment>
    <comment ref="D274" authorId="0">
      <text>
        <r>
          <rPr>
            <sz val="9"/>
            <color indexed="81"/>
            <rFont val="Tahoma"/>
            <family val="2"/>
          </rPr>
          <t xml:space="preserve">No GWP estimation found in literature, the value is an estimated magnutude assuming similarity with H,F and Br containing haloorganic compounds.
</t>
        </r>
      </text>
    </comment>
    <comment ref="H274" authorId="0">
      <text>
        <r>
          <rPr>
            <sz val="9"/>
            <color indexed="81"/>
            <rFont val="Tahoma"/>
            <family val="2"/>
          </rPr>
          <t xml:space="preserve">See note on CFC-11
</t>
        </r>
      </text>
    </comment>
    <comment ref="J274" authorId="0">
      <text>
        <r>
          <rPr>
            <sz val="9"/>
            <color indexed="81"/>
            <rFont val="Tahoma"/>
            <family val="2"/>
          </rPr>
          <t xml:space="preserve">See notes on CFC11
</t>
        </r>
      </text>
    </comment>
    <comment ref="K274" authorId="0">
      <text>
        <r>
          <rPr>
            <sz val="9"/>
            <color indexed="81"/>
            <rFont val="Tahoma"/>
            <family val="2"/>
          </rPr>
          <t xml:space="preserve">See notes on CFC11
</t>
        </r>
      </text>
    </comment>
    <comment ref="D275" authorId="0">
      <text>
        <r>
          <rPr>
            <sz val="9"/>
            <color indexed="81"/>
            <rFont val="Tahoma"/>
            <family val="2"/>
          </rPr>
          <t xml:space="preserve">No GWP estimation found in literature, the value is an estimated magnutude assuming similarity with H,F and Br containing haloorganic compounds.
</t>
        </r>
      </text>
    </comment>
    <comment ref="H275" authorId="0">
      <text>
        <r>
          <rPr>
            <sz val="9"/>
            <color indexed="81"/>
            <rFont val="Tahoma"/>
            <family val="2"/>
          </rPr>
          <t xml:space="preserve">See note on CFC-11
</t>
        </r>
      </text>
    </comment>
    <comment ref="J275" authorId="0">
      <text>
        <r>
          <rPr>
            <sz val="9"/>
            <color indexed="81"/>
            <rFont val="Tahoma"/>
            <family val="2"/>
          </rPr>
          <t xml:space="preserve">See notes on CFC11
</t>
        </r>
      </text>
    </comment>
    <comment ref="K275" authorId="0">
      <text>
        <r>
          <rPr>
            <sz val="9"/>
            <color indexed="81"/>
            <rFont val="Tahoma"/>
            <family val="2"/>
          </rPr>
          <t xml:space="preserve">See notes on CFC11
</t>
        </r>
      </text>
    </comment>
    <comment ref="D276" authorId="0">
      <text>
        <r>
          <rPr>
            <sz val="9"/>
            <color indexed="81"/>
            <rFont val="Tahoma"/>
            <family val="2"/>
          </rPr>
          <t xml:space="preserve">No GWP estimation found in literature, the value is an estimated magnutude assuming similarity with H,F and Br containing haloorganic compounds.
</t>
        </r>
      </text>
    </comment>
    <comment ref="H276" authorId="0">
      <text>
        <r>
          <rPr>
            <sz val="9"/>
            <color indexed="81"/>
            <rFont val="Tahoma"/>
            <family val="2"/>
          </rPr>
          <t xml:space="preserve">See note on CFC-11
</t>
        </r>
      </text>
    </comment>
    <comment ref="J276" authorId="0">
      <text>
        <r>
          <rPr>
            <sz val="9"/>
            <color indexed="81"/>
            <rFont val="Tahoma"/>
            <family val="2"/>
          </rPr>
          <t xml:space="preserve">See notes on CFC11
</t>
        </r>
      </text>
    </comment>
    <comment ref="K276" authorId="0">
      <text>
        <r>
          <rPr>
            <sz val="9"/>
            <color indexed="81"/>
            <rFont val="Tahoma"/>
            <family val="2"/>
          </rPr>
          <t xml:space="preserve">See notes on CFC11
</t>
        </r>
      </text>
    </comment>
    <comment ref="D277" authorId="0">
      <text>
        <r>
          <rPr>
            <sz val="9"/>
            <color indexed="81"/>
            <rFont val="Tahoma"/>
            <family val="2"/>
          </rPr>
          <t xml:space="preserve">No GWP estimation found in literature, the value is an estimated magnutude assuming similarity with H,F and Br containing haloorganic compounds.
</t>
        </r>
      </text>
    </comment>
    <comment ref="H277" authorId="0">
      <text>
        <r>
          <rPr>
            <sz val="9"/>
            <color indexed="81"/>
            <rFont val="Tahoma"/>
            <family val="2"/>
          </rPr>
          <t xml:space="preserve">See note on CFC-11
</t>
        </r>
      </text>
    </comment>
    <comment ref="J277" authorId="0">
      <text>
        <r>
          <rPr>
            <sz val="9"/>
            <color indexed="81"/>
            <rFont val="Tahoma"/>
            <family val="2"/>
          </rPr>
          <t xml:space="preserve">See notes on CFC11
</t>
        </r>
      </text>
    </comment>
    <comment ref="K277" authorId="0">
      <text>
        <r>
          <rPr>
            <sz val="9"/>
            <color indexed="81"/>
            <rFont val="Tahoma"/>
            <family val="2"/>
          </rPr>
          <t xml:space="preserve">See notes on CFC11
</t>
        </r>
      </text>
    </comment>
    <comment ref="D278" authorId="0">
      <text>
        <r>
          <rPr>
            <sz val="9"/>
            <color indexed="81"/>
            <rFont val="Tahoma"/>
            <family val="2"/>
          </rPr>
          <t xml:space="preserve">No GWP estimation found in literature, the value is an estimated magnutude assuming similarity with H,F and Br containing haloorganic compounds.
</t>
        </r>
      </text>
    </comment>
    <comment ref="H278" authorId="0">
      <text>
        <r>
          <rPr>
            <sz val="9"/>
            <color indexed="81"/>
            <rFont val="Tahoma"/>
            <family val="2"/>
          </rPr>
          <t xml:space="preserve">See note on CFC-11
</t>
        </r>
      </text>
    </comment>
    <comment ref="J278" authorId="0">
      <text>
        <r>
          <rPr>
            <sz val="9"/>
            <color indexed="81"/>
            <rFont val="Tahoma"/>
            <family val="2"/>
          </rPr>
          <t xml:space="preserve">See notes on CFC11
</t>
        </r>
      </text>
    </comment>
    <comment ref="K278" authorId="0">
      <text>
        <r>
          <rPr>
            <sz val="9"/>
            <color indexed="81"/>
            <rFont val="Tahoma"/>
            <family val="2"/>
          </rPr>
          <t xml:space="preserve">See notes on CFC11
</t>
        </r>
      </text>
    </comment>
    <comment ref="D279" authorId="0">
      <text>
        <r>
          <rPr>
            <sz val="9"/>
            <color indexed="81"/>
            <rFont val="Tahoma"/>
            <family val="2"/>
          </rPr>
          <t xml:space="preserve">No GWP estimation found in literature, the value is an estimated magnutude assuming similarity with H,F and Br containing haloorganic compounds.
</t>
        </r>
      </text>
    </comment>
    <comment ref="H279" authorId="0">
      <text>
        <r>
          <rPr>
            <sz val="9"/>
            <color indexed="81"/>
            <rFont val="Tahoma"/>
            <family val="2"/>
          </rPr>
          <t xml:space="preserve">See note on CFC-11
</t>
        </r>
      </text>
    </comment>
    <comment ref="J279" authorId="0">
      <text>
        <r>
          <rPr>
            <sz val="9"/>
            <color indexed="81"/>
            <rFont val="Tahoma"/>
            <family val="2"/>
          </rPr>
          <t xml:space="preserve">See notes on CFC11
</t>
        </r>
      </text>
    </comment>
    <comment ref="K279" authorId="0">
      <text>
        <r>
          <rPr>
            <sz val="9"/>
            <color indexed="81"/>
            <rFont val="Tahoma"/>
            <family val="2"/>
          </rPr>
          <t xml:space="preserve">See notes on CFC11
</t>
        </r>
      </text>
    </comment>
    <comment ref="D280" authorId="0">
      <text>
        <r>
          <rPr>
            <sz val="9"/>
            <color indexed="81"/>
            <rFont val="Tahoma"/>
            <family val="2"/>
          </rPr>
          <t xml:space="preserve">No GWP estimation found in literature, the value is an estimated magnutude assuming similarity with H,F and Br containing haloorganic compounds.
</t>
        </r>
      </text>
    </comment>
    <comment ref="H280" authorId="0">
      <text>
        <r>
          <rPr>
            <sz val="9"/>
            <color indexed="81"/>
            <rFont val="Tahoma"/>
            <family val="2"/>
          </rPr>
          <t xml:space="preserve">See note on CFC-11
</t>
        </r>
      </text>
    </comment>
    <comment ref="J280" authorId="0">
      <text>
        <r>
          <rPr>
            <sz val="9"/>
            <color indexed="81"/>
            <rFont val="Tahoma"/>
            <family val="2"/>
          </rPr>
          <t xml:space="preserve">See notes on CFC11
</t>
        </r>
      </text>
    </comment>
    <comment ref="K280" authorId="0">
      <text>
        <r>
          <rPr>
            <sz val="9"/>
            <color indexed="81"/>
            <rFont val="Tahoma"/>
            <family val="2"/>
          </rPr>
          <t xml:space="preserve">See notes on CFC11
</t>
        </r>
      </text>
    </comment>
    <comment ref="D281" authorId="0">
      <text>
        <r>
          <rPr>
            <sz val="9"/>
            <color indexed="81"/>
            <rFont val="Tahoma"/>
            <family val="2"/>
          </rPr>
          <t xml:space="preserve">No GWP estimation found in literature, the value is an estimated magnutude assuming similarity with H,F and Br containing haloorganic compounds.
</t>
        </r>
      </text>
    </comment>
    <comment ref="H281" authorId="0">
      <text>
        <r>
          <rPr>
            <sz val="9"/>
            <color indexed="81"/>
            <rFont val="Tahoma"/>
            <family val="2"/>
          </rPr>
          <t xml:space="preserve">See note on CFC-11
</t>
        </r>
      </text>
    </comment>
    <comment ref="J281" authorId="0">
      <text>
        <r>
          <rPr>
            <sz val="9"/>
            <color indexed="81"/>
            <rFont val="Tahoma"/>
            <family val="2"/>
          </rPr>
          <t xml:space="preserve">See notes on CFC11
</t>
        </r>
      </text>
    </comment>
    <comment ref="K281" authorId="0">
      <text>
        <r>
          <rPr>
            <sz val="9"/>
            <color indexed="81"/>
            <rFont val="Tahoma"/>
            <family val="2"/>
          </rPr>
          <t xml:space="preserve">See notes on CFC11
</t>
        </r>
      </text>
    </comment>
    <comment ref="D282" authorId="0">
      <text>
        <r>
          <rPr>
            <sz val="9"/>
            <color indexed="81"/>
            <rFont val="Tahoma"/>
            <family val="2"/>
          </rPr>
          <t xml:space="preserve">No GWP estimation found in literature, the value is an estimated magnutude assuming similarity with H,F and Br containing haloorganic compounds.
</t>
        </r>
      </text>
    </comment>
    <comment ref="H282" authorId="0">
      <text>
        <r>
          <rPr>
            <sz val="9"/>
            <color indexed="81"/>
            <rFont val="Tahoma"/>
            <family val="2"/>
          </rPr>
          <t xml:space="preserve">See note on CFC-11
</t>
        </r>
      </text>
    </comment>
    <comment ref="J282" authorId="0">
      <text>
        <r>
          <rPr>
            <sz val="9"/>
            <color indexed="81"/>
            <rFont val="Tahoma"/>
            <family val="2"/>
          </rPr>
          <t xml:space="preserve">See notes on CFC11
</t>
        </r>
      </text>
    </comment>
    <comment ref="K282" authorId="0">
      <text>
        <r>
          <rPr>
            <sz val="9"/>
            <color indexed="81"/>
            <rFont val="Tahoma"/>
            <family val="2"/>
          </rPr>
          <t xml:space="preserve">See notes on CFC11
</t>
        </r>
      </text>
    </comment>
    <comment ref="D283" authorId="0">
      <text>
        <r>
          <rPr>
            <sz val="9"/>
            <color indexed="81"/>
            <rFont val="Tahoma"/>
            <family val="2"/>
          </rPr>
          <t xml:space="preserve">No GWP estimation found in literature, the value is an estimated magnutude assuming similarity with H,F and Br containing haloorganic compounds.
</t>
        </r>
      </text>
    </comment>
    <comment ref="H283" authorId="0">
      <text>
        <r>
          <rPr>
            <sz val="9"/>
            <color indexed="81"/>
            <rFont val="Tahoma"/>
            <family val="2"/>
          </rPr>
          <t xml:space="preserve">See note on CFC-11
</t>
        </r>
      </text>
    </comment>
    <comment ref="J283" authorId="0">
      <text>
        <r>
          <rPr>
            <sz val="9"/>
            <color indexed="81"/>
            <rFont val="Tahoma"/>
            <family val="2"/>
          </rPr>
          <t xml:space="preserve">See notes on CFC11
</t>
        </r>
      </text>
    </comment>
    <comment ref="K283" authorId="0">
      <text>
        <r>
          <rPr>
            <sz val="9"/>
            <color indexed="81"/>
            <rFont val="Tahoma"/>
            <family val="2"/>
          </rPr>
          <t xml:space="preserve">See notes on CFC11
</t>
        </r>
      </text>
    </comment>
    <comment ref="D284" authorId="0">
      <text>
        <r>
          <rPr>
            <sz val="9"/>
            <color indexed="81"/>
            <rFont val="Tahoma"/>
            <family val="2"/>
          </rPr>
          <t xml:space="preserve">No GWP estimation found in literature, the value is an estimated magnutude assuming similarity with H,F and Br containing haloorganic compounds.
</t>
        </r>
      </text>
    </comment>
    <comment ref="H284" authorId="0">
      <text>
        <r>
          <rPr>
            <sz val="9"/>
            <color indexed="81"/>
            <rFont val="Tahoma"/>
            <family val="2"/>
          </rPr>
          <t xml:space="preserve">See note on CFC-11
</t>
        </r>
      </text>
    </comment>
    <comment ref="J284" authorId="0">
      <text>
        <r>
          <rPr>
            <sz val="9"/>
            <color indexed="81"/>
            <rFont val="Tahoma"/>
            <family val="2"/>
          </rPr>
          <t xml:space="preserve">See notes on CFC11
</t>
        </r>
      </text>
    </comment>
    <comment ref="K284" authorId="0">
      <text>
        <r>
          <rPr>
            <sz val="9"/>
            <color indexed="81"/>
            <rFont val="Tahoma"/>
            <family val="2"/>
          </rPr>
          <t xml:space="preserve">See notes on CFC11
</t>
        </r>
      </text>
    </comment>
    <comment ref="D285" authorId="0">
      <text>
        <r>
          <rPr>
            <sz val="9"/>
            <color indexed="81"/>
            <rFont val="Tahoma"/>
            <family val="2"/>
          </rPr>
          <t xml:space="preserve">No GWP estimation found in literature, the value is an estimated magnutude assuming similarity with H,F and Br containing haloorganic compounds.
</t>
        </r>
      </text>
    </comment>
    <comment ref="H285" authorId="0">
      <text>
        <r>
          <rPr>
            <sz val="9"/>
            <color indexed="81"/>
            <rFont val="Tahoma"/>
            <family val="2"/>
          </rPr>
          <t xml:space="preserve">See note on CFC-11
</t>
        </r>
      </text>
    </comment>
    <comment ref="J285" authorId="0">
      <text>
        <r>
          <rPr>
            <sz val="9"/>
            <color indexed="81"/>
            <rFont val="Tahoma"/>
            <family val="2"/>
          </rPr>
          <t xml:space="preserve">See notes on CFC11
</t>
        </r>
      </text>
    </comment>
    <comment ref="K285" authorId="0">
      <text>
        <r>
          <rPr>
            <sz val="9"/>
            <color indexed="81"/>
            <rFont val="Tahoma"/>
            <family val="2"/>
          </rPr>
          <t xml:space="preserve">See notes on CFC11
</t>
        </r>
      </text>
    </comment>
    <comment ref="D286" authorId="0">
      <text>
        <r>
          <rPr>
            <sz val="9"/>
            <color indexed="81"/>
            <rFont val="Tahoma"/>
            <family val="2"/>
          </rPr>
          <t xml:space="preserve">No GWP estimation found in literature, the value is an estimated magnutude assuming similarity with H,F and Br containing haloorganic compounds.
</t>
        </r>
      </text>
    </comment>
    <comment ref="H286" authorId="0">
      <text>
        <r>
          <rPr>
            <sz val="9"/>
            <color indexed="81"/>
            <rFont val="Tahoma"/>
            <family val="2"/>
          </rPr>
          <t xml:space="preserve">See note on CFC-11
</t>
        </r>
      </text>
    </comment>
    <comment ref="J286" authorId="0">
      <text>
        <r>
          <rPr>
            <sz val="9"/>
            <color indexed="81"/>
            <rFont val="Tahoma"/>
            <family val="2"/>
          </rPr>
          <t xml:space="preserve">See notes on CFC11
</t>
        </r>
      </text>
    </comment>
    <comment ref="K286" authorId="0">
      <text>
        <r>
          <rPr>
            <sz val="9"/>
            <color indexed="81"/>
            <rFont val="Tahoma"/>
            <family val="2"/>
          </rPr>
          <t xml:space="preserve">See notes on CFC11
</t>
        </r>
      </text>
    </comment>
    <comment ref="H287" authorId="0">
      <text>
        <r>
          <rPr>
            <sz val="9"/>
            <color indexed="81"/>
            <rFont val="Tahoma"/>
            <family val="2"/>
          </rPr>
          <t xml:space="preserve">See note on CFC-11
</t>
        </r>
      </text>
    </comment>
    <comment ref="J287" authorId="0">
      <text>
        <r>
          <rPr>
            <sz val="9"/>
            <color indexed="81"/>
            <rFont val="Tahoma"/>
            <family val="2"/>
          </rPr>
          <t xml:space="preserve">See notes on CFC11
</t>
        </r>
      </text>
    </comment>
    <comment ref="K287" authorId="0">
      <text>
        <r>
          <rPr>
            <sz val="9"/>
            <color indexed="81"/>
            <rFont val="Tahoma"/>
            <family val="2"/>
          </rPr>
          <t xml:space="preserve">See notes on CFC11
</t>
        </r>
      </text>
    </comment>
  </commentList>
</comments>
</file>

<file path=xl/sharedStrings.xml><?xml version="1.0" encoding="utf-8"?>
<sst xmlns="http://schemas.openxmlformats.org/spreadsheetml/2006/main" count="3551" uniqueCount="1866">
  <si>
    <t>Indicator</t>
  </si>
  <si>
    <t>Pathway</t>
  </si>
  <si>
    <t>Safe guard subject</t>
  </si>
  <si>
    <t>Human health</t>
  </si>
  <si>
    <t>YOLL</t>
  </si>
  <si>
    <t>personyears</t>
  </si>
  <si>
    <t>Indicator unit</t>
  </si>
  <si>
    <t>kg</t>
  </si>
  <si>
    <t>Crop growth capacity</t>
  </si>
  <si>
    <t>Wood growth capacity</t>
  </si>
  <si>
    <t>Wood</t>
  </si>
  <si>
    <t>kg of element</t>
  </si>
  <si>
    <t>Fossil oil</t>
  </si>
  <si>
    <t>Fossil coal</t>
  </si>
  <si>
    <t>Natural gas</t>
  </si>
  <si>
    <t>Aluminium-ore</t>
  </si>
  <si>
    <t>Iron-ore</t>
  </si>
  <si>
    <t>Borates</t>
  </si>
  <si>
    <t>Bromide salt</t>
  </si>
  <si>
    <t>Water</t>
  </si>
  <si>
    <t>Sodium salt</t>
  </si>
  <si>
    <t>Potassium salt</t>
  </si>
  <si>
    <t>Magnesium salt</t>
  </si>
  <si>
    <t>Elementary S</t>
  </si>
  <si>
    <t>Iodide salt</t>
  </si>
  <si>
    <t>Chloride salt</t>
  </si>
  <si>
    <t>Depletion of oil reserves</t>
  </si>
  <si>
    <t>Depletion of coal reserves</t>
  </si>
  <si>
    <t>Depletion of natural gas reserves</t>
  </si>
  <si>
    <t>Depletion of Al reserves</t>
  </si>
  <si>
    <t>Depletion of Fe reserves</t>
  </si>
  <si>
    <t>Depletion of Cu reserves</t>
  </si>
  <si>
    <t>Depletion of Au reserves</t>
  </si>
  <si>
    <t>Depletion of Ba reserves</t>
  </si>
  <si>
    <t>Depletion of Be reserves</t>
  </si>
  <si>
    <t>Depletion of Ce reserves</t>
  </si>
  <si>
    <t>Depletion of Co reserves</t>
  </si>
  <si>
    <t>Depletion of Cr reserves</t>
  </si>
  <si>
    <t>Depletion of Cs reserves</t>
  </si>
  <si>
    <t>Depletion of Dy reserves</t>
  </si>
  <si>
    <t>Depletion of Er reserves</t>
  </si>
  <si>
    <t>Depletion of Eu reserves</t>
  </si>
  <si>
    <t>Depletion of F reserves</t>
  </si>
  <si>
    <t>Depletion of Ga reserves</t>
  </si>
  <si>
    <t>Depletion of Gd reserves</t>
  </si>
  <si>
    <t>Depletion of Ge reserves</t>
  </si>
  <si>
    <t>Depletion of Hf reserves</t>
  </si>
  <si>
    <t>Depletion of Ho reserves</t>
  </si>
  <si>
    <t>Depletion of I reserves</t>
  </si>
  <si>
    <t>Depletion of In reserves</t>
  </si>
  <si>
    <t>Depletion of Ir reserves</t>
  </si>
  <si>
    <t>Depletion of La reserves</t>
  </si>
  <si>
    <t>Depletion of Li reserves</t>
  </si>
  <si>
    <t>Depletion of Lu reserves</t>
  </si>
  <si>
    <t>Depletion of Mn reserves</t>
  </si>
  <si>
    <t>Depletion of Nb reserves</t>
  </si>
  <si>
    <t>Depletion of Nd reserves</t>
  </si>
  <si>
    <t>Depletion of Os reserves</t>
  </si>
  <si>
    <t>Depletion of P reserves</t>
  </si>
  <si>
    <t>Depletion of Pd reserves</t>
  </si>
  <si>
    <t>Depletion of Pr reserves</t>
  </si>
  <si>
    <t>Depletion of Pt reserves</t>
  </si>
  <si>
    <t>Depletion of Rb reserves</t>
  </si>
  <si>
    <t>Depletion of Rh reserves</t>
  </si>
  <si>
    <t>Depletion of Re reserves</t>
  </si>
  <si>
    <t>Depletion of Ru reserves</t>
  </si>
  <si>
    <t>Depletion of Sb reserves</t>
  </si>
  <si>
    <t>Depletion of Sc reserves</t>
  </si>
  <si>
    <t>Depletion of Se reserves</t>
  </si>
  <si>
    <t>Depletion of Sm reserves</t>
  </si>
  <si>
    <t>Depletion of Sr reserves</t>
  </si>
  <si>
    <t>Depletion of Ta reserves</t>
  </si>
  <si>
    <t>Depletion of Tb reserves</t>
  </si>
  <si>
    <t>Depletion of Te reserves</t>
  </si>
  <si>
    <t>Depletion of Ti reserves</t>
  </si>
  <si>
    <t>Depletion of Tl reserves</t>
  </si>
  <si>
    <t>Depletion of U reserves</t>
  </si>
  <si>
    <t>Depletion of V reserves</t>
  </si>
  <si>
    <t>Depletion of Y reserves</t>
  </si>
  <si>
    <t>Depletion of Yb reserves</t>
  </si>
  <si>
    <t>Depletion of Zr reserves</t>
  </si>
  <si>
    <t>Depletion of B reserves</t>
  </si>
  <si>
    <t>Depletion of Br reserves</t>
  </si>
  <si>
    <t>Depletion of H reserves</t>
  </si>
  <si>
    <t>Depletion of Na reserves</t>
  </si>
  <si>
    <t>Depletion of K reserves</t>
  </si>
  <si>
    <t>Depletion of Mg reserves</t>
  </si>
  <si>
    <t>Depletion of S reserves</t>
  </si>
  <si>
    <t>Depletion of Cl reserves</t>
  </si>
  <si>
    <t>Depletion of Ag reserves</t>
  </si>
  <si>
    <t>Depletion of As reserves</t>
  </si>
  <si>
    <t>Depletion of Bi reserves</t>
  </si>
  <si>
    <t>Depletion of Cd reserves</t>
  </si>
  <si>
    <t>Depletion of Hg reserves</t>
  </si>
  <si>
    <t>Depletion of Pb reserves</t>
  </si>
  <si>
    <t>Depletion of Sn reserves</t>
  </si>
  <si>
    <t>Depletion of Zn reserves</t>
  </si>
  <si>
    <t>Copper ore</t>
  </si>
  <si>
    <t>Gold ore</t>
  </si>
  <si>
    <t>Barium ore</t>
  </si>
  <si>
    <t>Beryllium ore</t>
  </si>
  <si>
    <t>Cerium ore</t>
  </si>
  <si>
    <t>Cobolt ore</t>
  </si>
  <si>
    <t>Chromium ore</t>
  </si>
  <si>
    <t>Cesium ore</t>
  </si>
  <si>
    <t>Dysprosium ore</t>
  </si>
  <si>
    <t>Erbium ore</t>
  </si>
  <si>
    <t>Europium ore</t>
  </si>
  <si>
    <t>Fluorine minerals</t>
  </si>
  <si>
    <t>Gallium ore</t>
  </si>
  <si>
    <t>Gadolinium ore</t>
  </si>
  <si>
    <t>Germanium ore</t>
  </si>
  <si>
    <t>Hafnium ore</t>
  </si>
  <si>
    <t>Holmium ore</t>
  </si>
  <si>
    <t>Indium ore</t>
  </si>
  <si>
    <t>Iridium ore</t>
  </si>
  <si>
    <t>Lanthanum ore</t>
  </si>
  <si>
    <t>Lithium minerals</t>
  </si>
  <si>
    <t>Iodine minerals</t>
  </si>
  <si>
    <t>Luthenium ore</t>
  </si>
  <si>
    <t>Manganese ore</t>
  </si>
  <si>
    <t>Niob ore</t>
  </si>
  <si>
    <t>Neodymium ore</t>
  </si>
  <si>
    <t>Osmium ore</t>
  </si>
  <si>
    <t>Phosphorus minerals</t>
  </si>
  <si>
    <t>Palladium ore</t>
  </si>
  <si>
    <t>Praseodymium ore</t>
  </si>
  <si>
    <t>Platinum ore</t>
  </si>
  <si>
    <t>Rubidium ore</t>
  </si>
  <si>
    <t>Rhenium ore</t>
  </si>
  <si>
    <t>Rhodium ore</t>
  </si>
  <si>
    <t>Ruthenium ore</t>
  </si>
  <si>
    <t>Antimony ore</t>
  </si>
  <si>
    <t>Scandium ore</t>
  </si>
  <si>
    <t>Selenium minerals</t>
  </si>
  <si>
    <t>Samarium ore</t>
  </si>
  <si>
    <t>Strontium minerals</t>
  </si>
  <si>
    <t>Tantalum ore</t>
  </si>
  <si>
    <t>Terbium ore</t>
  </si>
  <si>
    <t>Tellurium minerals</t>
  </si>
  <si>
    <t>Titanium ore</t>
  </si>
  <si>
    <t>Thallium ore</t>
  </si>
  <si>
    <t>Thulium ore</t>
  </si>
  <si>
    <t>Uranium ore</t>
  </si>
  <si>
    <t>Vanadium ore</t>
  </si>
  <si>
    <t>Yttrium ore</t>
  </si>
  <si>
    <t>Ytterbium ore</t>
  </si>
  <si>
    <t>Zirconium ore</t>
  </si>
  <si>
    <t>Silver ore</t>
  </si>
  <si>
    <t>Arsenic ore</t>
  </si>
  <si>
    <t>Wismuth ore</t>
  </si>
  <si>
    <t>Cadmium ore</t>
  </si>
  <si>
    <t>Mercury ore</t>
  </si>
  <si>
    <t>Lead ore</t>
  </si>
  <si>
    <t>Tin ore</t>
  </si>
  <si>
    <t>Zinc ore</t>
  </si>
  <si>
    <t>heat stress</t>
  </si>
  <si>
    <t>CO2</t>
  </si>
  <si>
    <t>flooding</t>
  </si>
  <si>
    <t>all</t>
  </si>
  <si>
    <t>crop</t>
  </si>
  <si>
    <t>wood</t>
  </si>
  <si>
    <t>global warming</t>
  </si>
  <si>
    <t>CO</t>
  </si>
  <si>
    <t>direct exposure</t>
  </si>
  <si>
    <t>Biodiversity</t>
  </si>
  <si>
    <t>Species extinction</t>
  </si>
  <si>
    <t>dimensionless</t>
  </si>
  <si>
    <t>NOx</t>
  </si>
  <si>
    <t>secondary particles</t>
  </si>
  <si>
    <t>oxidant formation</t>
  </si>
  <si>
    <t>fish&amp;meat</t>
  </si>
  <si>
    <t>eutrofication</t>
  </si>
  <si>
    <t>acidification</t>
  </si>
  <si>
    <t>NEX</t>
  </si>
  <si>
    <t>SO2</t>
  </si>
  <si>
    <t>corrosion</t>
  </si>
  <si>
    <t>Substance</t>
  </si>
  <si>
    <t>SUM</t>
  </si>
  <si>
    <t>HNO2</t>
  </si>
  <si>
    <t>HNO3</t>
  </si>
  <si>
    <t>added to NOX. 1 kg HNO2 = 0.941 kg NOx</t>
  </si>
  <si>
    <t>added to NOX. 1 kg HNO3 = 0.730 kg NOx</t>
  </si>
  <si>
    <t>N2O</t>
  </si>
  <si>
    <t>H2S</t>
  </si>
  <si>
    <t>secondary SO2</t>
  </si>
  <si>
    <t>HF</t>
  </si>
  <si>
    <t>secondary aerosol</t>
  </si>
  <si>
    <t>HCl</t>
  </si>
  <si>
    <t>NH3</t>
  </si>
  <si>
    <t>nutrification</t>
  </si>
  <si>
    <t>Benzene</t>
  </si>
  <si>
    <t>GWP 100</t>
  </si>
  <si>
    <t>Ethan</t>
  </si>
  <si>
    <t>Propane</t>
  </si>
  <si>
    <t>N-butane</t>
  </si>
  <si>
    <t>I-butane</t>
  </si>
  <si>
    <t>N-pentane</t>
  </si>
  <si>
    <t>I-pentane</t>
  </si>
  <si>
    <t>Hexane</t>
  </si>
  <si>
    <t>2-metylpentane</t>
  </si>
  <si>
    <t>3-metylpentane</t>
  </si>
  <si>
    <t>N-heptane</t>
  </si>
  <si>
    <t>N-oktane</t>
  </si>
  <si>
    <t>2-metylheptane</t>
  </si>
  <si>
    <t>N-nonane</t>
  </si>
  <si>
    <t>2-metyloktane</t>
  </si>
  <si>
    <t>N-decane</t>
  </si>
  <si>
    <t>2-methylnonane</t>
  </si>
  <si>
    <t>N-undecane</t>
  </si>
  <si>
    <t>N-dodecane</t>
  </si>
  <si>
    <t>Metyl-cyclohexane</t>
  </si>
  <si>
    <t>1-butene</t>
  </si>
  <si>
    <t>2-butene</t>
  </si>
  <si>
    <t>1-pentene</t>
  </si>
  <si>
    <t>2-pentene</t>
  </si>
  <si>
    <t>Acetylene</t>
  </si>
  <si>
    <t>Toluene</t>
  </si>
  <si>
    <t>O-xylene</t>
  </si>
  <si>
    <t>M-xylene</t>
  </si>
  <si>
    <t>P-xylene</t>
  </si>
  <si>
    <t>Etylbenzene</t>
  </si>
  <si>
    <t>1,2,3-Trimetylbenzene</t>
  </si>
  <si>
    <t>1,2,4-Trimetylbenzene</t>
  </si>
  <si>
    <t>1,3,5-Trimetylbenzene</t>
  </si>
  <si>
    <t>O-ethyltoluene</t>
  </si>
  <si>
    <t>M-ethyltoluene</t>
  </si>
  <si>
    <t>P-ethyltoluene</t>
  </si>
  <si>
    <t>N-propylbenzene</t>
  </si>
  <si>
    <t>I-propylbenzene</t>
  </si>
  <si>
    <t>Methanol</t>
  </si>
  <si>
    <t>Ethanol</t>
  </si>
  <si>
    <t>I-propanol</t>
  </si>
  <si>
    <t>Butanol</t>
  </si>
  <si>
    <t>I-butanol</t>
  </si>
  <si>
    <t>Acetone</t>
  </si>
  <si>
    <t>Methyl ethyl ketone</t>
  </si>
  <si>
    <t>Methyl i-butyl ketone</t>
  </si>
  <si>
    <t>Acetaldehyde</t>
  </si>
  <si>
    <t>Propionaldehyde</t>
  </si>
  <si>
    <t>Butyraldehyde</t>
  </si>
  <si>
    <t>I-butyraldehyde</t>
  </si>
  <si>
    <t>Valeraldehyde</t>
  </si>
  <si>
    <t>Acrolein</t>
  </si>
  <si>
    <t>Dimethylether</t>
  </si>
  <si>
    <t>ethylacetate</t>
  </si>
  <si>
    <t>n-butylacetate</t>
  </si>
  <si>
    <t>Substance name</t>
  </si>
  <si>
    <t>CASRN</t>
  </si>
  <si>
    <t>Potency factor</t>
  </si>
  <si>
    <t>average</t>
  </si>
  <si>
    <t>acute health effects</t>
  </si>
  <si>
    <t>chronic health effects</t>
  </si>
  <si>
    <t>Cancer</t>
  </si>
  <si>
    <t>As</t>
  </si>
  <si>
    <t>Cd</t>
  </si>
  <si>
    <t>Cr</t>
  </si>
  <si>
    <t>Hg</t>
  </si>
  <si>
    <t>brain damage</t>
  </si>
  <si>
    <t>Cu</t>
  </si>
  <si>
    <t>Ni</t>
  </si>
  <si>
    <t>Pb</t>
  </si>
  <si>
    <t>Zn</t>
  </si>
  <si>
    <t>CFC-11</t>
  </si>
  <si>
    <t>GWP-100</t>
  </si>
  <si>
    <t>ODP</t>
  </si>
  <si>
    <t>CFC:s</t>
  </si>
  <si>
    <t>CFC-12</t>
  </si>
  <si>
    <t>CFC-13</t>
  </si>
  <si>
    <t>CFC-113</t>
  </si>
  <si>
    <t>CFC-114</t>
  </si>
  <si>
    <t>CFC-115</t>
  </si>
  <si>
    <t>HCFC:s</t>
  </si>
  <si>
    <t>HCFC-22</t>
  </si>
  <si>
    <t>Bromocarbons</t>
  </si>
  <si>
    <t>Others</t>
  </si>
  <si>
    <t>HFC-23</t>
  </si>
  <si>
    <t>HFC-32</t>
  </si>
  <si>
    <t>HFC-43-10mee</t>
  </si>
  <si>
    <t>HFC-125</t>
  </si>
  <si>
    <t>HFC-134</t>
  </si>
  <si>
    <t>HFC-134a</t>
  </si>
  <si>
    <t>HFC-152a</t>
  </si>
  <si>
    <t>HFC-143</t>
  </si>
  <si>
    <t>HFC-143a</t>
  </si>
  <si>
    <t>HFC-227ea</t>
  </si>
  <si>
    <t>HFC-236fa</t>
  </si>
  <si>
    <t>HFC-245ca</t>
  </si>
  <si>
    <t>CF4</t>
  </si>
  <si>
    <t>C2F6</t>
  </si>
  <si>
    <t>c-C4F8</t>
  </si>
  <si>
    <t>C6F14</t>
  </si>
  <si>
    <t>Eutrofication</t>
  </si>
  <si>
    <t>Unit</t>
  </si>
  <si>
    <t>m2year</t>
  </si>
  <si>
    <t>Soil mineralisation</t>
  </si>
  <si>
    <t>Molybden</t>
  </si>
  <si>
    <t>Element formula</t>
  </si>
  <si>
    <t>Element name</t>
  </si>
  <si>
    <t>Weighting factor (ELU/kg)</t>
  </si>
  <si>
    <t>Au</t>
  </si>
  <si>
    <t>Gold</t>
  </si>
  <si>
    <t>Ba</t>
  </si>
  <si>
    <t>Barium</t>
  </si>
  <si>
    <t>Be</t>
  </si>
  <si>
    <t>Beryllium</t>
  </si>
  <si>
    <t>Ce</t>
  </si>
  <si>
    <t>Cerium</t>
  </si>
  <si>
    <t>Co</t>
  </si>
  <si>
    <t>Cobolt</t>
  </si>
  <si>
    <t>Chromium</t>
  </si>
  <si>
    <t>Cs</t>
  </si>
  <si>
    <t>Cesium</t>
  </si>
  <si>
    <t>Dy</t>
  </si>
  <si>
    <t>Dysprosium</t>
  </si>
  <si>
    <t>Er</t>
  </si>
  <si>
    <t>Erbium</t>
  </si>
  <si>
    <t>Eu</t>
  </si>
  <si>
    <t>Europium</t>
  </si>
  <si>
    <t>F</t>
  </si>
  <si>
    <t>Fluorine</t>
  </si>
  <si>
    <t>Ga</t>
  </si>
  <si>
    <t>Gallium</t>
  </si>
  <si>
    <t>Gd</t>
  </si>
  <si>
    <t>Gadolinium</t>
  </si>
  <si>
    <t>Ge</t>
  </si>
  <si>
    <t>Germanium</t>
  </si>
  <si>
    <t>Hf</t>
  </si>
  <si>
    <t>Hafnium</t>
  </si>
  <si>
    <t>Ho</t>
  </si>
  <si>
    <t>Holmium</t>
  </si>
  <si>
    <t>I</t>
  </si>
  <si>
    <t>In</t>
  </si>
  <si>
    <t>Indium</t>
  </si>
  <si>
    <t>Ir</t>
  </si>
  <si>
    <t>Iridium</t>
  </si>
  <si>
    <t>La</t>
  </si>
  <si>
    <t>Lanthanum</t>
  </si>
  <si>
    <t>Li</t>
  </si>
  <si>
    <t>Lithium</t>
  </si>
  <si>
    <t>Lu</t>
  </si>
  <si>
    <t>Mn</t>
  </si>
  <si>
    <t>Manganese</t>
  </si>
  <si>
    <t>Nb</t>
  </si>
  <si>
    <t>Niob</t>
  </si>
  <si>
    <t>Nd</t>
  </si>
  <si>
    <t>Neodymium</t>
  </si>
  <si>
    <t>Os</t>
  </si>
  <si>
    <t>Osmium</t>
  </si>
  <si>
    <t>P</t>
  </si>
  <si>
    <t>Phosphorus</t>
  </si>
  <si>
    <t>Pd</t>
  </si>
  <si>
    <t>Palladium</t>
  </si>
  <si>
    <t>Pr</t>
  </si>
  <si>
    <t>Praseodymium</t>
  </si>
  <si>
    <t>Pt</t>
  </si>
  <si>
    <t>Platinum</t>
  </si>
  <si>
    <t>Rb</t>
  </si>
  <si>
    <t>Rubidium</t>
  </si>
  <si>
    <t>Re</t>
  </si>
  <si>
    <t>Rhenium</t>
  </si>
  <si>
    <t>Rh</t>
  </si>
  <si>
    <t>Rhodium</t>
  </si>
  <si>
    <t>Ru</t>
  </si>
  <si>
    <t>Ruthenium</t>
  </si>
  <si>
    <t>Sb</t>
  </si>
  <si>
    <t>Antimony</t>
  </si>
  <si>
    <t>Sc</t>
  </si>
  <si>
    <t>Scandium</t>
  </si>
  <si>
    <t>Se</t>
  </si>
  <si>
    <t>Selenium</t>
  </si>
  <si>
    <t>Sm</t>
  </si>
  <si>
    <t>Samarium</t>
  </si>
  <si>
    <t>Sr</t>
  </si>
  <si>
    <t>Strontium</t>
  </si>
  <si>
    <t>Ta</t>
  </si>
  <si>
    <t>Tantalum</t>
  </si>
  <si>
    <t>Tb</t>
  </si>
  <si>
    <t>Terbium</t>
  </si>
  <si>
    <t>Te</t>
  </si>
  <si>
    <t>Tellurium</t>
  </si>
  <si>
    <t>Ti</t>
  </si>
  <si>
    <t>Titanium</t>
  </si>
  <si>
    <t>Tl</t>
  </si>
  <si>
    <t>Thallium</t>
  </si>
  <si>
    <t>Tm</t>
  </si>
  <si>
    <t>Thulium</t>
  </si>
  <si>
    <t xml:space="preserve">U </t>
  </si>
  <si>
    <t>Uranium</t>
  </si>
  <si>
    <t xml:space="preserve">V </t>
  </si>
  <si>
    <t>Vanadium</t>
  </si>
  <si>
    <t>Y</t>
  </si>
  <si>
    <t>Yttrium</t>
  </si>
  <si>
    <t>Yb</t>
  </si>
  <si>
    <t>Ytterbium</t>
  </si>
  <si>
    <t>Zr</t>
  </si>
  <si>
    <t>Zirconium</t>
  </si>
  <si>
    <t>Ag</t>
  </si>
  <si>
    <t>Bi</t>
  </si>
  <si>
    <t>Mo</t>
  </si>
  <si>
    <t>Sn</t>
  </si>
  <si>
    <t>Silver</t>
  </si>
  <si>
    <t>Arsenic</t>
  </si>
  <si>
    <t>Bismuth</t>
  </si>
  <si>
    <t>Cadmium</t>
  </si>
  <si>
    <t>Copper</t>
  </si>
  <si>
    <t>Mercury</t>
  </si>
  <si>
    <t>Molybdenum</t>
  </si>
  <si>
    <t>Lead</t>
  </si>
  <si>
    <t>Tin</t>
  </si>
  <si>
    <t>Zinc</t>
  </si>
  <si>
    <t>Nickel</t>
  </si>
  <si>
    <t>W</t>
  </si>
  <si>
    <t>Tungsten</t>
  </si>
  <si>
    <t>Th</t>
  </si>
  <si>
    <t>Thorium</t>
  </si>
  <si>
    <t>B</t>
  </si>
  <si>
    <t>Br</t>
  </si>
  <si>
    <t>H</t>
  </si>
  <si>
    <t>Na</t>
  </si>
  <si>
    <t>K</t>
  </si>
  <si>
    <t>Mg</t>
  </si>
  <si>
    <t>S</t>
  </si>
  <si>
    <t>Cl</t>
  </si>
  <si>
    <t>Ar</t>
  </si>
  <si>
    <t>He</t>
  </si>
  <si>
    <t>Ne</t>
  </si>
  <si>
    <t>N</t>
  </si>
  <si>
    <t>O</t>
  </si>
  <si>
    <t xml:space="preserve">Nat. gas, m3n </t>
  </si>
  <si>
    <t>Lignite, kg</t>
  </si>
  <si>
    <t>Coal, kg</t>
  </si>
  <si>
    <t>Crude oil, kg</t>
  </si>
  <si>
    <t>CH4 to air, kg</t>
  </si>
  <si>
    <t>CO2 to air, kg</t>
  </si>
  <si>
    <t>NMVOC to air,kg</t>
  </si>
  <si>
    <t>NOx  to air, kg</t>
  </si>
  <si>
    <t>SOx to air, kg</t>
  </si>
  <si>
    <t>per MJ</t>
  </si>
  <si>
    <t>per kg Al</t>
  </si>
  <si>
    <t>/MJ</t>
  </si>
  <si>
    <t>/kg Al</t>
  </si>
  <si>
    <t>/kg NaOH</t>
  </si>
  <si>
    <t>Emission or resource</t>
  </si>
  <si>
    <t>Diesel power</t>
  </si>
  <si>
    <t>Electricity</t>
  </si>
  <si>
    <t>NaOH production</t>
  </si>
  <si>
    <t>sum</t>
  </si>
  <si>
    <t>Energy MJ</t>
  </si>
  <si>
    <t>ELU/kg Al with current technology</t>
  </si>
  <si>
    <t>ELU/kg Al with sustainable technology.</t>
  </si>
  <si>
    <t>Wood energy, MJ</t>
  </si>
  <si>
    <t>NMVOC to air, kg</t>
  </si>
  <si>
    <t>NOx to air, kg</t>
  </si>
  <si>
    <t>Item</t>
  </si>
  <si>
    <t>Production cost (EUR)</t>
  </si>
  <si>
    <t>Veg.oil</t>
  </si>
  <si>
    <t>Wood based process energy</t>
  </si>
  <si>
    <t>NaOH for leaching</t>
  </si>
  <si>
    <t>Acid</t>
  </si>
  <si>
    <t>Processing</t>
  </si>
  <si>
    <t>Production cost</t>
  </si>
  <si>
    <t>Pb-reserves</t>
  </si>
  <si>
    <t>Cr- reserves</t>
  </si>
  <si>
    <t>Fe- reserves</t>
  </si>
  <si>
    <t>Cu- reserves</t>
  </si>
  <si>
    <t>Ni- reserves</t>
  </si>
  <si>
    <t>Ag- reserves</t>
  </si>
  <si>
    <t>Zn- reserves</t>
  </si>
  <si>
    <t>Sn- reserves</t>
  </si>
  <si>
    <t>Natural gas reserves</t>
  </si>
  <si>
    <t>m3n</t>
  </si>
  <si>
    <t>Wood (forestry)</t>
  </si>
  <si>
    <t>Lignite</t>
  </si>
  <si>
    <t>Coal- reserves</t>
  </si>
  <si>
    <t>CH4 Methane</t>
  </si>
  <si>
    <t>CO2 m</t>
  </si>
  <si>
    <t>NMVOC p</t>
  </si>
  <si>
    <t>PAH s</t>
  </si>
  <si>
    <t>amount/kg charcoal</t>
  </si>
  <si>
    <t>EUR/kg charcoal</t>
  </si>
  <si>
    <t>unit</t>
  </si>
  <si>
    <t>WTP/unit</t>
  </si>
  <si>
    <t>Present technology</t>
  </si>
  <si>
    <t>land occupation,m2yr</t>
  </si>
  <si>
    <t>NaOH for precipitation</t>
  </si>
  <si>
    <t>NMVOC</t>
  </si>
  <si>
    <t>MJ</t>
  </si>
  <si>
    <t>Processing ground rock</t>
  </si>
  <si>
    <t>Price/unit</t>
  </si>
  <si>
    <t>Amount</t>
  </si>
  <si>
    <t>HCFC-23</t>
  </si>
  <si>
    <t>HCFC-24</t>
  </si>
  <si>
    <t>HCFC-25</t>
  </si>
  <si>
    <t>HCFC-26</t>
  </si>
  <si>
    <t>HCFC-27</t>
  </si>
  <si>
    <t>HCFC-28</t>
  </si>
  <si>
    <t xml:space="preserve">This excel workbook contains </t>
  </si>
  <si>
    <t>Luthetium</t>
  </si>
  <si>
    <t>Substance
 flow group</t>
  </si>
  <si>
    <t>Extension 
mean</t>
  </si>
  <si>
    <t>Contribution
 uncertainty</t>
  </si>
  <si>
    <t>Pathway specific 
charcterisation factor</t>
  </si>
  <si>
    <t>Damage cost,
 EUR</t>
  </si>
  <si>
    <t>EPS 
default index, ELU/kg</t>
  </si>
  <si>
    <t>share, dimensionless</t>
  </si>
  <si>
    <t>Malaria episodes</t>
  </si>
  <si>
    <t>habitat change</t>
  </si>
  <si>
    <t>drinking water</t>
  </si>
  <si>
    <t>draught</t>
  </si>
  <si>
    <t>irrigation water</t>
  </si>
  <si>
    <t>energy access</t>
  </si>
  <si>
    <t>warming, extremes</t>
  </si>
  <si>
    <t>housing</t>
  </si>
  <si>
    <t>extremes</t>
  </si>
  <si>
    <t>separations</t>
  </si>
  <si>
    <t>migration</t>
  </si>
  <si>
    <t>work capacity</t>
  </si>
  <si>
    <t>food supply</t>
  </si>
  <si>
    <t>malnutrition</t>
  </si>
  <si>
    <t>Malnutrition</t>
  </si>
  <si>
    <t>diarrhea</t>
  </si>
  <si>
    <t>Diarrhea</t>
  </si>
  <si>
    <t>persons</t>
  </si>
  <si>
    <t>cold moderation</t>
  </si>
  <si>
    <t>undernutrition</t>
  </si>
  <si>
    <t>Diarrhoeal diseases</t>
  </si>
  <si>
    <t>Working capacity</t>
  </si>
  <si>
    <t>Characterisation
 factor for state indicator</t>
  </si>
  <si>
    <t>fruit&amp;veg</t>
  </si>
  <si>
    <t>climate change</t>
  </si>
  <si>
    <t>Drinking water</t>
  </si>
  <si>
    <t>Irrigation water</t>
  </si>
  <si>
    <t>rise of sea level</t>
  </si>
  <si>
    <t>Migration</t>
  </si>
  <si>
    <t>gravation of angina pectoris</t>
  </si>
  <si>
    <t>Gravation of angina pectoris</t>
  </si>
  <si>
    <t>all (sum)</t>
  </si>
  <si>
    <t>meat&amp;fish</t>
  </si>
  <si>
    <t>State indicator</t>
  </si>
  <si>
    <t>Ecosystem services</t>
  </si>
  <si>
    <t>Abiotic resources</t>
  </si>
  <si>
    <t>Access to water</t>
  </si>
  <si>
    <t>Provisioning</t>
  </si>
  <si>
    <t>Production capacity for fruit &amp; vegetables</t>
  </si>
  <si>
    <t>Water production capacity</t>
  </si>
  <si>
    <t>Cardiovascular disease</t>
  </si>
  <si>
    <t>Life expectancy</t>
  </si>
  <si>
    <t>Disability</t>
  </si>
  <si>
    <t>Depletion of Mo reserves</t>
  </si>
  <si>
    <t>Delivery capacity</t>
  </si>
  <si>
    <t>Goods delivery capacity</t>
  </si>
  <si>
    <t>Transport capacity for persons</t>
  </si>
  <si>
    <t>Housing availability</t>
  </si>
  <si>
    <t>kW</t>
  </si>
  <si>
    <r>
      <t>Contribution
 mean,  ( kg</t>
    </r>
    <r>
      <rPr>
        <vertAlign val="superscript"/>
        <sz val="10"/>
        <rFont val="Arial"/>
        <family val="2"/>
      </rPr>
      <t>-1</t>
    </r>
    <r>
      <rPr>
        <sz val="10"/>
        <rFont val="Arial"/>
        <family val="2"/>
      </rPr>
      <t>)</t>
    </r>
  </si>
  <si>
    <t>Extension uncertainty</t>
  </si>
  <si>
    <t>Asthma cases</t>
  </si>
  <si>
    <t>asthma cases</t>
  </si>
  <si>
    <t>Bromine</t>
  </si>
  <si>
    <t>Hydrogen</t>
  </si>
  <si>
    <t>Sodium</t>
  </si>
  <si>
    <t>Potassium</t>
  </si>
  <si>
    <t>Magnesium</t>
  </si>
  <si>
    <t>Sulphur</t>
  </si>
  <si>
    <t>Iodine</t>
  </si>
  <si>
    <t>Chlorine</t>
  </si>
  <si>
    <t>Boron</t>
  </si>
  <si>
    <t>Argon</t>
  </si>
  <si>
    <t>Helium</t>
  </si>
  <si>
    <t>Neon</t>
  </si>
  <si>
    <t>Nitrogen</t>
  </si>
  <si>
    <t>Oxygen</t>
  </si>
  <si>
    <t>$/GJ</t>
  </si>
  <si>
    <t>Biomass cost</t>
  </si>
  <si>
    <t>$/kg CH4</t>
  </si>
  <si>
    <t>$/kg C</t>
  </si>
  <si>
    <t>€/kg CH4</t>
  </si>
  <si>
    <t>Weighting factor
 (ELU/indicator unit)</t>
  </si>
  <si>
    <r>
      <t>Nat. gas, m</t>
    </r>
    <r>
      <rPr>
        <vertAlign val="superscript"/>
        <sz val="10"/>
        <rFont val="Times New Roman"/>
        <family val="1"/>
      </rPr>
      <t>3</t>
    </r>
    <r>
      <rPr>
        <vertAlign val="subscript"/>
        <sz val="10"/>
        <rFont val="Times New Roman"/>
        <family val="1"/>
      </rPr>
      <t>n</t>
    </r>
    <r>
      <rPr>
        <sz val="10"/>
        <rFont val="Times New Roman"/>
        <family val="1"/>
      </rPr>
      <t xml:space="preserve"> </t>
    </r>
  </si>
  <si>
    <r>
      <t>CH</t>
    </r>
    <r>
      <rPr>
        <vertAlign val="subscript"/>
        <sz val="10"/>
        <rFont val="Times New Roman"/>
        <family val="1"/>
      </rPr>
      <t>4</t>
    </r>
    <r>
      <rPr>
        <sz val="10"/>
        <rFont val="Times New Roman"/>
        <family val="1"/>
      </rPr>
      <t xml:space="preserve"> to air, kg</t>
    </r>
  </si>
  <si>
    <r>
      <t>CO</t>
    </r>
    <r>
      <rPr>
        <vertAlign val="subscript"/>
        <sz val="10"/>
        <rFont val="Times New Roman"/>
        <family val="1"/>
      </rPr>
      <t>2</t>
    </r>
    <r>
      <rPr>
        <sz val="10"/>
        <rFont val="Times New Roman"/>
        <family val="1"/>
      </rPr>
      <t xml:space="preserve"> to air, kg</t>
    </r>
  </si>
  <si>
    <r>
      <t>NO</t>
    </r>
    <r>
      <rPr>
        <vertAlign val="subscript"/>
        <sz val="10"/>
        <rFont val="Times New Roman"/>
        <family val="1"/>
      </rPr>
      <t>x</t>
    </r>
    <r>
      <rPr>
        <sz val="10"/>
        <rFont val="Times New Roman"/>
        <family val="1"/>
      </rPr>
      <t xml:space="preserve"> to air, kg</t>
    </r>
  </si>
  <si>
    <r>
      <t>SO</t>
    </r>
    <r>
      <rPr>
        <vertAlign val="subscript"/>
        <sz val="10"/>
        <rFont val="Times New Roman"/>
        <family val="1"/>
      </rPr>
      <t>x</t>
    </r>
    <r>
      <rPr>
        <sz val="10"/>
        <rFont val="Times New Roman"/>
        <family val="1"/>
      </rPr>
      <t xml:space="preserve"> to air, kg</t>
    </r>
  </si>
  <si>
    <t>Total environmental impact from present production processes in the reference system for Al-ore and for a optimised process in terms of sustainability</t>
  </si>
  <si>
    <r>
      <t>Impact value, v2014, ELU/kg o ELU/m</t>
    </r>
    <r>
      <rPr>
        <vertAlign val="superscript"/>
        <sz val="10"/>
        <rFont val="Times New Roman"/>
        <family val="1"/>
      </rPr>
      <t>3</t>
    </r>
    <r>
      <rPr>
        <sz val="10"/>
        <rFont val="Times New Roman"/>
        <family val="1"/>
      </rPr>
      <t xml:space="preserve"> or ELU/MJ</t>
    </r>
  </si>
  <si>
    <t>Emissions and use of resources from today's technology and energy sources when producing Al-ore from average earth crust composition</t>
  </si>
  <si>
    <r>
      <t>H</t>
    </r>
    <r>
      <rPr>
        <vertAlign val="subscript"/>
        <sz val="10"/>
        <rFont val="Times New Roman"/>
        <family val="1"/>
      </rPr>
      <t>2</t>
    </r>
    <r>
      <rPr>
        <sz val="10"/>
        <rFont val="Times New Roman"/>
        <family val="1"/>
      </rPr>
      <t>SO</t>
    </r>
    <r>
      <rPr>
        <vertAlign val="subscript"/>
        <sz val="10"/>
        <rFont val="Times New Roman"/>
        <family val="1"/>
      </rPr>
      <t>4</t>
    </r>
    <r>
      <rPr>
        <sz val="10"/>
        <rFont val="Times New Roman"/>
        <family val="1"/>
      </rPr>
      <t xml:space="preserve"> production</t>
    </r>
  </si>
  <si>
    <r>
      <t>/kg H</t>
    </r>
    <r>
      <rPr>
        <vertAlign val="subscript"/>
        <sz val="10"/>
        <rFont val="Times New Roman"/>
        <family val="1"/>
      </rPr>
      <t>2</t>
    </r>
    <r>
      <rPr>
        <sz val="10"/>
        <rFont val="Times New Roman"/>
        <family val="1"/>
      </rPr>
      <t>SO</t>
    </r>
    <r>
      <rPr>
        <vertAlign val="subscript"/>
        <sz val="10"/>
        <rFont val="Times New Roman"/>
        <family val="1"/>
      </rPr>
      <t>4</t>
    </r>
  </si>
  <si>
    <t>Reference system for sustainable production of Bauxite</t>
  </si>
  <si>
    <t>Amount in kg or MJ per kg Al</t>
  </si>
  <si>
    <t>Estimation of production cost for Al-ore containing 1 kg of Al.</t>
  </si>
  <si>
    <t>Default scenario for sustainable production of  "iron ore" from average rock</t>
  </si>
  <si>
    <t>Inventory results (kg or MJ per kg Fe)</t>
  </si>
  <si>
    <t xml:space="preserve">Energy content </t>
  </si>
  <si>
    <t>(MJ/kg Fe)</t>
  </si>
  <si>
    <t>Impact value with current technology (ELU/kg Fe)</t>
  </si>
  <si>
    <t>Impact value with optimised technology.</t>
  </si>
  <si>
    <t>(ELU/kg Fe)</t>
  </si>
  <si>
    <t>Calculation of impact values from near sustainable production of iron ore.</t>
  </si>
  <si>
    <t>Estimation of production cost for Fe-ore per kg/Fe</t>
  </si>
  <si>
    <t>Production cost (EUR/kgFe)</t>
  </si>
  <si>
    <r>
      <t>H</t>
    </r>
    <r>
      <rPr>
        <vertAlign val="subscript"/>
        <sz val="10"/>
        <rFont val="Times New Roman"/>
        <family val="1"/>
      </rPr>
      <t>2</t>
    </r>
    <r>
      <rPr>
        <sz val="10"/>
        <rFont val="Times New Roman"/>
        <family val="1"/>
      </rPr>
      <t>SO4 for leaching</t>
    </r>
  </si>
  <si>
    <t>ELU/kg</t>
  </si>
  <si>
    <t>Total cost (internal + external)</t>
  </si>
  <si>
    <t>Calcium</t>
  </si>
  <si>
    <t>Ca</t>
  </si>
  <si>
    <t>Sulphur hexafluoride</t>
  </si>
  <si>
    <t>Methane</t>
  </si>
  <si>
    <t>Cyclohexanol</t>
  </si>
  <si>
    <t>Cyclohexanone</t>
  </si>
  <si>
    <t>Propylene glycol</t>
  </si>
  <si>
    <t>Styrene</t>
  </si>
  <si>
    <t>1-Methoxy-2-propanol</t>
  </si>
  <si>
    <t>2,2-Dimethylbutane</t>
  </si>
  <si>
    <t>2,3-Dimethylbutane</t>
  </si>
  <si>
    <t>2-Methylbutan-1-ol</t>
  </si>
  <si>
    <t>2-Methylbutan-2-ol</t>
  </si>
  <si>
    <t>2-Methylhexane</t>
  </si>
  <si>
    <t>3,5-Diethyltoluene</t>
  </si>
  <si>
    <t>3,5-Dimethylethylbenzene</t>
  </si>
  <si>
    <t>3-Methylbutan-2-ol</t>
  </si>
  <si>
    <t>3-Methylhexane</t>
  </si>
  <si>
    <t>4-Ethylheptane</t>
  </si>
  <si>
    <t>Benzaldehyde</t>
  </si>
  <si>
    <t>Diacetone alcohol</t>
  </si>
  <si>
    <t>Diethylketone</t>
  </si>
  <si>
    <t>Diisopropylether</t>
  </si>
  <si>
    <t>Ethylene glycol</t>
  </si>
  <si>
    <t>Glyoxal</t>
  </si>
  <si>
    <t>Hexan-2-one</t>
  </si>
  <si>
    <t>Hexan-3-one</t>
  </si>
  <si>
    <t>Methacrolein</t>
  </si>
  <si>
    <t>Methanethiol</t>
  </si>
  <si>
    <t>Methyl formate</t>
  </si>
  <si>
    <t>Neopentane</t>
  </si>
  <si>
    <t>2-Ethylhexyl acetate</t>
  </si>
  <si>
    <t>2,2,2-Trifluoroethanol</t>
  </si>
  <si>
    <t>Methyl bromide</t>
  </si>
  <si>
    <t>1,2-Dichloroethylene</t>
  </si>
  <si>
    <t>Bifenthrin</t>
  </si>
  <si>
    <t>Lambda-cyhalothrin</t>
  </si>
  <si>
    <t>Fipronil</t>
  </si>
  <si>
    <t>Phosphamidon</t>
  </si>
  <si>
    <t>Formic acid</t>
  </si>
  <si>
    <t>n.a.</t>
  </si>
  <si>
    <t>Propene</t>
  </si>
  <si>
    <t>Cost item</t>
  </si>
  <si>
    <t>Production process for charcoal</t>
  </si>
  <si>
    <t>Cultural</t>
  </si>
  <si>
    <t>Quality time</t>
  </si>
  <si>
    <t>Fe-ore</t>
  </si>
  <si>
    <t>Cr.ore</t>
  </si>
  <si>
    <t>Ni-ore</t>
  </si>
  <si>
    <t>External costs</t>
  </si>
  <si>
    <t>Internal cost</t>
  </si>
  <si>
    <t>Internal costs</t>
  </si>
  <si>
    <t>€/kg</t>
  </si>
  <si>
    <t>COPD severe</t>
  </si>
  <si>
    <t>personyear</t>
  </si>
  <si>
    <t>soiling</t>
  </si>
  <si>
    <t>working capacity</t>
  </si>
  <si>
    <t>eutrophication, dead zones</t>
  </si>
  <si>
    <t>N-nutrification</t>
  </si>
  <si>
    <t>N-nutrification of ocean</t>
  </si>
  <si>
    <t>Indicators</t>
  </si>
  <si>
    <t>CO2 emission</t>
  </si>
  <si>
    <t>€</t>
  </si>
  <si>
    <t>seconday aerosols</t>
  </si>
  <si>
    <t>YOLL/ 
oxidants</t>
  </si>
  <si>
    <t>Malnutrition/
climate change</t>
  </si>
  <si>
    <t>Working capacity/
climate change</t>
  </si>
  <si>
    <t>Diarrhea/ 
climate change</t>
  </si>
  <si>
    <t>Crop loss/
climate change</t>
  </si>
  <si>
    <t>Crop loss/
oxidants</t>
  </si>
  <si>
    <t>Meat&amp;fish/
climate change</t>
  </si>
  <si>
    <t>NEX from 
climate change</t>
  </si>
  <si>
    <t>Fruit&amp;vegetables
/climate change</t>
  </si>
  <si>
    <t>Wood  from 
climate change</t>
  </si>
  <si>
    <t>Drinking water / climate change</t>
  </si>
  <si>
    <t>Irrigation water/ climate change</t>
  </si>
  <si>
    <t>Housing /climate change</t>
  </si>
  <si>
    <t>Separations / climate change</t>
  </si>
  <si>
    <t>YOLL / secondary particles</t>
  </si>
  <si>
    <t>YOLL / 
Cancer</t>
  </si>
  <si>
    <t>Asthma cases / secondary particles</t>
  </si>
  <si>
    <t>COPD severe/secondary particles</t>
  </si>
  <si>
    <t>Wood  from oxidant formation</t>
  </si>
  <si>
    <t>POCP</t>
  </si>
  <si>
    <t>Ethene</t>
  </si>
  <si>
    <t>2-methyl-2-butene</t>
  </si>
  <si>
    <t>POCP
 un certainty</t>
  </si>
  <si>
    <t>GWP 
un certainty</t>
  </si>
  <si>
    <t>s-butanol</t>
  </si>
  <si>
    <t>t-butanol</t>
  </si>
  <si>
    <t>3-pentanol</t>
  </si>
  <si>
    <t>Cyclohexane</t>
  </si>
  <si>
    <t>Methylpropene</t>
  </si>
  <si>
    <t>3-Methylbut-1-ene</t>
  </si>
  <si>
    <t>Hex-1-ene</t>
  </si>
  <si>
    <t>Hex-2-ene</t>
  </si>
  <si>
    <t>1,3-Butadiene</t>
  </si>
  <si>
    <t>Propanol</t>
  </si>
  <si>
    <t>Methylpropylketone</t>
  </si>
  <si>
    <t>Methyl-i-propylketone</t>
  </si>
  <si>
    <t>Methyl-t-butylketone</t>
  </si>
  <si>
    <t>Formaldehyde</t>
  </si>
  <si>
    <t>Methyl-Glyoxal</t>
  </si>
  <si>
    <t>Methyl-Acetate</t>
  </si>
  <si>
    <t>Diethyl-Ether</t>
  </si>
  <si>
    <t>Methyl-t-Butyl-Ether</t>
  </si>
  <si>
    <t>Acetic Acid</t>
  </si>
  <si>
    <t>Ethyl-t-butylether</t>
  </si>
  <si>
    <t>Alkanes</t>
  </si>
  <si>
    <t>Cycloalkanes</t>
  </si>
  <si>
    <t>Alkenes</t>
  </si>
  <si>
    <t>Dialkenes</t>
  </si>
  <si>
    <t>Alkynes</t>
  </si>
  <si>
    <t>Aromatics</t>
  </si>
  <si>
    <t>Alcohols</t>
  </si>
  <si>
    <t>Glycols</t>
  </si>
  <si>
    <t>Ketons</t>
  </si>
  <si>
    <t>Aldehydes</t>
  </si>
  <si>
    <t>Esters</t>
  </si>
  <si>
    <t>Ethers</t>
  </si>
  <si>
    <t>Alcohol and glycol ethers</t>
  </si>
  <si>
    <t>2-Methoxyethanol</t>
  </si>
  <si>
    <t>2-Ethoxyethanol</t>
  </si>
  <si>
    <t>2-Butoxyethanol</t>
  </si>
  <si>
    <t>Carboxylic acids</t>
  </si>
  <si>
    <t>Propanoic acid</t>
  </si>
  <si>
    <t>n-Propyl acetate</t>
  </si>
  <si>
    <t>i-Propyl acetate</t>
  </si>
  <si>
    <t>Halocarbons</t>
  </si>
  <si>
    <t>Methyl chloride</t>
  </si>
  <si>
    <t>Methylene chloride</t>
  </si>
  <si>
    <t>Chloroform</t>
  </si>
  <si>
    <t>Tetrachloroethylene</t>
  </si>
  <si>
    <t>Trichloroethylene</t>
  </si>
  <si>
    <t>Methyl chloroform</t>
  </si>
  <si>
    <t>Methyl Mercaptan</t>
  </si>
  <si>
    <t>Diethyl Sulfide</t>
  </si>
  <si>
    <t>Diethyl Disulfide</t>
  </si>
  <si>
    <t>1,1-dichloroethane</t>
  </si>
  <si>
    <t>1,1-dichloroethylene</t>
  </si>
  <si>
    <t>Particle formation potential</t>
  </si>
  <si>
    <t>PFP un certainty</t>
  </si>
  <si>
    <t>Substance, flow group</t>
  </si>
  <si>
    <t>Substance,
 flow group</t>
  </si>
  <si>
    <t>YOLL /
 climate change</t>
  </si>
  <si>
    <t>HCFC-21</t>
  </si>
  <si>
    <t>HCFC-122</t>
  </si>
  <si>
    <t>HCFC-123</t>
  </si>
  <si>
    <t>HCFC-122a</t>
  </si>
  <si>
    <t>HCFC-124</t>
  </si>
  <si>
    <t>HCFC-123a</t>
  </si>
  <si>
    <t>HCFC-132c</t>
  </si>
  <si>
    <t>HCFC-141b</t>
  </si>
  <si>
    <t>HCFC-142b</t>
  </si>
  <si>
    <t>HCFC-225ca</t>
  </si>
  <si>
    <t>HCFC-225cb</t>
  </si>
  <si>
    <t>(E)-1-Chloro-3,3,3-trifluoroprop-1-ene</t>
  </si>
  <si>
    <t>HFC-41</t>
  </si>
  <si>
    <t>Uncertainty</t>
  </si>
  <si>
    <t>HFC-152</t>
  </si>
  <si>
    <t>HFC-161</t>
  </si>
  <si>
    <t>HFC-227ca</t>
  </si>
  <si>
    <t>HFC-236cb</t>
  </si>
  <si>
    <t>HFC-236ea</t>
  </si>
  <si>
    <t>HFC-245cb</t>
  </si>
  <si>
    <t>HFC-245ea</t>
  </si>
  <si>
    <t>HFC-245eb</t>
  </si>
  <si>
    <t>HFC-245fa</t>
  </si>
  <si>
    <t>HFC-263fb</t>
  </si>
  <si>
    <t>HFC-272ca</t>
  </si>
  <si>
    <t>HFC-329p</t>
  </si>
  <si>
    <t>HFC-365mfc</t>
  </si>
  <si>
    <t>HFC-1132a</t>
  </si>
  <si>
    <t>HFC-1141</t>
  </si>
  <si>
    <t>(Z)-HFC-1225ye</t>
  </si>
  <si>
    <t>(E)-HFC-1225ye</t>
  </si>
  <si>
    <t>(Z)-HFC-1234ze</t>
  </si>
  <si>
    <t>HFC-1234yf</t>
  </si>
  <si>
    <t>(E)-HFC-1234ze</t>
  </si>
  <si>
    <t>(Z)-HFC-1336</t>
  </si>
  <si>
    <t>HFC-1243zf</t>
  </si>
  <si>
    <t>HFC-1345zfc</t>
  </si>
  <si>
    <t>3,3,4,4,5,5,6,6,6-Nonafluorohex-1-ene</t>
  </si>
  <si>
    <t>3,3,4,4,5,5,6,6,7,7,8,8,8-Tridecafluorooct-1-ene</t>
  </si>
  <si>
    <t>3,3,4,4,5,5,6,6,7,7,8,8,9,9,10,10,10-Heptadecafluorodec-1-ene</t>
  </si>
  <si>
    <t>Methylene bromide</t>
  </si>
  <si>
    <t>Halon-1202</t>
  </si>
  <si>
    <t>Halon-1201</t>
  </si>
  <si>
    <t>Halon-1211</t>
  </si>
  <si>
    <t>Halon-1301</t>
  </si>
  <si>
    <t>Halon-2301</t>
  </si>
  <si>
    <t>Halon-2311/Halothane</t>
  </si>
  <si>
    <t>Halon-2401</t>
  </si>
  <si>
    <t>Halon-2402</t>
  </si>
  <si>
    <t>Nitrogen trifluoride</t>
  </si>
  <si>
    <t>(Trifluoromethyl)sulphur pentafluoride</t>
  </si>
  <si>
    <t>Sulphuryl fluoride</t>
  </si>
  <si>
    <t>PFC-14</t>
  </si>
  <si>
    <t>PFC-116</t>
  </si>
  <si>
    <t>PFC-c216</t>
  </si>
  <si>
    <t>PFC-218</t>
  </si>
  <si>
    <t>PFC-318</t>
  </si>
  <si>
    <t>PFC-31-10</t>
  </si>
  <si>
    <t>Perfluorocyclopentene</t>
  </si>
  <si>
    <t>PFC-41-12</t>
  </si>
  <si>
    <t>PFC-51-14</t>
  </si>
  <si>
    <t>PFC-61-16</t>
  </si>
  <si>
    <t>PFC-71-18</t>
  </si>
  <si>
    <t>PFC-91-18</t>
  </si>
  <si>
    <t>Perfluorodecalin(cis)</t>
  </si>
  <si>
    <t>Perfluorodecalin(trans)</t>
  </si>
  <si>
    <t>PFC-1114</t>
  </si>
  <si>
    <t>PFC-1216</t>
  </si>
  <si>
    <t>Perfluorobuta-1,3-diene</t>
  </si>
  <si>
    <t>Perfluorobut-1-ene</t>
  </si>
  <si>
    <t>Perfluorobut-2-ene</t>
  </si>
  <si>
    <t>HFE-125</t>
  </si>
  <si>
    <t>HFE-134 (HG-00)</t>
  </si>
  <si>
    <t>HFE-143a</t>
  </si>
  <si>
    <t>HFE-227ea</t>
  </si>
  <si>
    <t>HCFE-235ca2 (enflurane)</t>
  </si>
  <si>
    <t>HCFE-235da2 (isoflurane)</t>
  </si>
  <si>
    <t>HFE-236ca</t>
  </si>
  <si>
    <t>HFE-236ea2 (desflurane)</t>
  </si>
  <si>
    <t>HFE-236fa</t>
  </si>
  <si>
    <t>HFE-245cb2</t>
  </si>
  <si>
    <t>HFE-245fa1</t>
  </si>
  <si>
    <t>HFE-245fa2</t>
  </si>
  <si>
    <t>2,2,3,3,3-Pentafluoropropan-1-ol</t>
  </si>
  <si>
    <t>HFE-254cb1</t>
  </si>
  <si>
    <t>HFE-263fb2</t>
  </si>
  <si>
    <t>HFE-263m1</t>
  </si>
  <si>
    <t>3,3,3-Trifluoropropan-1-ol</t>
  </si>
  <si>
    <t>HFE-329mcc2</t>
  </si>
  <si>
    <t>HFE-338mmz1</t>
  </si>
  <si>
    <t>HFE-338mcf2</t>
  </si>
  <si>
    <t>Sevoflurane (HFE-347mmz1)</t>
  </si>
  <si>
    <t>HFE-347mcc3 (HFE-7000)</t>
  </si>
  <si>
    <t>HFE-347mcf2</t>
  </si>
  <si>
    <t>HFE-347pcf2</t>
  </si>
  <si>
    <t>HFE-347mmy1</t>
  </si>
  <si>
    <t>HFE-356mec3</t>
  </si>
  <si>
    <t>HFE-356mff2</t>
  </si>
  <si>
    <t>HFE-356pcf2</t>
  </si>
  <si>
    <t>HFE-356pcf3</t>
  </si>
  <si>
    <t>HFE-356pcc3</t>
  </si>
  <si>
    <t>HFE-356mmz1</t>
  </si>
  <si>
    <t>HFE-365mcf3</t>
  </si>
  <si>
    <t>HFE-365mcf2</t>
  </si>
  <si>
    <t>HFE-374pc2</t>
  </si>
  <si>
    <t>4,4,4-Trifluorobutan-1-ol</t>
  </si>
  <si>
    <t>2,2,3,3,4,4,5,5-Octafluorocyclopentanol</t>
  </si>
  <si>
    <t>HFE-43-10pccc124 (H-Galden 1040x, HG-11)</t>
  </si>
  <si>
    <t>HFE-449s1 (HFE-7100)</t>
  </si>
  <si>
    <t>n-HFE-7100</t>
  </si>
  <si>
    <t>i-HFE-7100</t>
  </si>
  <si>
    <t>HFE-569sf2 (HFE-7200)</t>
  </si>
  <si>
    <t>n-HFE-7200</t>
  </si>
  <si>
    <t>i-HFE-7200</t>
  </si>
  <si>
    <t>HFE-236ca12 (HG-10)</t>
  </si>
  <si>
    <t>HFE-338pcc13 (HG-01)</t>
  </si>
  <si>
    <t>1,1,1,3,3,3-Hexafluoropropan-2-ol</t>
  </si>
  <si>
    <t>HG-02</t>
  </si>
  <si>
    <t>HG-03</t>
  </si>
  <si>
    <t>HG-20</t>
  </si>
  <si>
    <t>HG-21</t>
  </si>
  <si>
    <t>HG-30</t>
  </si>
  <si>
    <t>1-Ethoxy-1,1,2,2,3,3,3-heptafluoropropane</t>
  </si>
  <si>
    <t>Fluoroxene</t>
  </si>
  <si>
    <t>1,1,2,2-Tetrafluoro-1-(fluoromethoxy)ethane</t>
  </si>
  <si>
    <t>2-Ethoxy-3,3,4,4,5-pentafluorotetrahydro-2,5-bis[1,2,2,2-tetrafluoro-1-(trifluoromethyl)ethyl]-furan</t>
  </si>
  <si>
    <t>Fluoro(methoxy)methane</t>
  </si>
  <si>
    <t>Difluoro(methoxy)methane</t>
  </si>
  <si>
    <t>Fluoro(fluoromethoxy)methane</t>
  </si>
  <si>
    <t>Difluoro(fluoromethoxy)methane</t>
  </si>
  <si>
    <t>Trifluoro(fluoromethoxy)methane</t>
  </si>
  <si>
    <t>HFE-329me3</t>
  </si>
  <si>
    <t>3,3,4,4, 5,5,6,6,7,7,7-Undecafluoroheptan-1-ol</t>
  </si>
  <si>
    <t>3,3,4,4,5,5,6,6,7,7,8,8,9,9, 9-Pentadecafluorononan-1-ol</t>
  </si>
  <si>
    <t>3,3,4,4,5,5,6,6,7,7,8,8,9,9,10,10,11,11,11-Nonadecafluoroundecan-1-ol</t>
  </si>
  <si>
    <t>2-Chloro-1,1,2-trifluoro-1-methoxyethane</t>
  </si>
  <si>
    <t>PFPMIE (perfluoropolymethylisopropyl ether)</t>
  </si>
  <si>
    <t>HFE-216</t>
  </si>
  <si>
    <t>Trifluoromethyl formate</t>
  </si>
  <si>
    <t>Perfluoroethyl formate</t>
  </si>
  <si>
    <t>Perfluoropropyl formate</t>
  </si>
  <si>
    <t>Perfluorobutyl formate</t>
  </si>
  <si>
    <t>2,2,2-Trifluoroethyl formate</t>
  </si>
  <si>
    <t>3,3,3-Trifluoropropyl formate</t>
  </si>
  <si>
    <t>1,2,2,2-Tetrafluoroethyl formate</t>
  </si>
  <si>
    <t>1,1,1,3,3,3-Hexafluoropropan-2-yl formate</t>
  </si>
  <si>
    <t>Perfluorobutyl acetate</t>
  </si>
  <si>
    <t>Perfluoropropyl acetate</t>
  </si>
  <si>
    <t>Perfluoroethyl acetate</t>
  </si>
  <si>
    <t>Trifluoromethyl acetate</t>
  </si>
  <si>
    <t>Methyl carbonofluoridate</t>
  </si>
  <si>
    <t>1,1-Difluoroethyl carbonofluoridate</t>
  </si>
  <si>
    <t>1,1-Difluoroethyl 2,2,2-trifluoroacetate</t>
  </si>
  <si>
    <t>Ethyl 2,2,2-trifluoroacetate</t>
  </si>
  <si>
    <t>2,2,2-Trifluoroethyl 2,2,2-trifluoroacetate</t>
  </si>
  <si>
    <t>Methyl 2,2,2-trifluoroacetate</t>
  </si>
  <si>
    <t>Methyl 2,2-difluoroacetate</t>
  </si>
  <si>
    <t>Difluoromethyl 2,2,2-trifluoroacetate</t>
  </si>
  <si>
    <t>2,2,3,3,4,4,4-Heptafluorobutan-1-ol</t>
  </si>
  <si>
    <t>1,1,2-Trifluoro-2-(trifluoromethoxy)-ethane</t>
  </si>
  <si>
    <t>1-Ethoxy-1,1,2,3,3,3-hexafluoropropane</t>
  </si>
  <si>
    <t>1,1,1,2,2,3,3-Heptafluoro-3-(1,2,2,2-tetrafluoroethoxy)-propane</t>
  </si>
  <si>
    <t>2,2,3,3-Tetrafluoro-1-propanol</t>
  </si>
  <si>
    <t>2,2,3,3,4,4,4-Heptafluoro-1-butanol</t>
  </si>
  <si>
    <t>1,1,2,2-Tetrafluoro-3-methoxy-propane</t>
  </si>
  <si>
    <t>Perfluoro-2-methyl-3-pentanone</t>
  </si>
  <si>
    <t>3,3,3-Trifluoro-propanal</t>
  </si>
  <si>
    <t>2-Fluoroethanol</t>
  </si>
  <si>
    <t>2,2-Difluoroethanol</t>
  </si>
  <si>
    <t>1,1’-Oxybis[2-(difluoromethoxy)-1,1,2,2-tetrafluoroethane</t>
  </si>
  <si>
    <t>1,1,3,3,4,4,6,6,7,7,9,9,10,10,12,12-hexadecafluoro-2,5,8,11-Tetraoxadodecane</t>
  </si>
  <si>
    <t>1,1,3,3,4,4,6,6,7,7,9,9,10,10,12,12,13,13,15,15-Eicosafluoro-2,5,8,11,14-Pentaoxapentadecane</t>
  </si>
  <si>
    <t>CFC-111</t>
  </si>
  <si>
    <t>CFC-112</t>
  </si>
  <si>
    <t>CFC-211</t>
  </si>
  <si>
    <t>CFC-212</t>
  </si>
  <si>
    <t>CFC-213</t>
  </si>
  <si>
    <t>CFC-214</t>
  </si>
  <si>
    <t>CFC-215</t>
  </si>
  <si>
    <t>CFC-216</t>
  </si>
  <si>
    <t>CFC-217</t>
  </si>
  <si>
    <t>Methyl Chloroform (C2H3Cl3) 1,1,1-trichloroethane</t>
  </si>
  <si>
    <t>CHFBr2</t>
  </si>
  <si>
    <t>C2HFBr4</t>
  </si>
  <si>
    <t>C2HF2Br3</t>
  </si>
  <si>
    <t>C2HF3Br2</t>
  </si>
  <si>
    <t>C2HF4Br</t>
  </si>
  <si>
    <t>C2H2FBr3</t>
  </si>
  <si>
    <t>C2H2F2Br2</t>
  </si>
  <si>
    <t>C2H2F3Br</t>
  </si>
  <si>
    <t>C2H3FBr2</t>
  </si>
  <si>
    <t>C2H3F2Br</t>
  </si>
  <si>
    <t>C2H4FBr</t>
  </si>
  <si>
    <t>C3HFBr6</t>
  </si>
  <si>
    <t>C3HF2Br5</t>
  </si>
  <si>
    <t>C3HF3Br4</t>
  </si>
  <si>
    <t>C3HF4Br3</t>
  </si>
  <si>
    <t>C3HF5Br2</t>
  </si>
  <si>
    <t>C3HF6Br</t>
  </si>
  <si>
    <t>C3H2FBr5</t>
  </si>
  <si>
    <t>C3H2F2Br4</t>
  </si>
  <si>
    <t>C3H2F3Br3</t>
  </si>
  <si>
    <t>C3H2F4Br2</t>
  </si>
  <si>
    <t>C3H2F5Br</t>
  </si>
  <si>
    <t>C3H3FBr4</t>
  </si>
  <si>
    <t>C3H3F2Br3</t>
  </si>
  <si>
    <t>C3H3F3Br2</t>
  </si>
  <si>
    <t>C3H3F4Br</t>
  </si>
  <si>
    <t>C3H4FBr3</t>
  </si>
  <si>
    <t>C3H4F2Br2</t>
  </si>
  <si>
    <t>C3H4F3Br</t>
  </si>
  <si>
    <t>C3H5FBr2</t>
  </si>
  <si>
    <t>C3H5F2Br</t>
  </si>
  <si>
    <t>C3H6FBr</t>
  </si>
  <si>
    <t>Fluorocarbons</t>
  </si>
  <si>
    <t>CH2BrCl</t>
  </si>
  <si>
    <t>HCFC-271</t>
  </si>
  <si>
    <t>HCFC-31</t>
  </si>
  <si>
    <t>HCFC-121</t>
  </si>
  <si>
    <t>HCFC-131</t>
  </si>
  <si>
    <t>HCFC-133</t>
  </si>
  <si>
    <t>HCFC-141</t>
  </si>
  <si>
    <t>HCFC-142</t>
  </si>
  <si>
    <t>HCFC-151</t>
  </si>
  <si>
    <t>HCFC-221</t>
  </si>
  <si>
    <t>HCFC-222</t>
  </si>
  <si>
    <t>HCFC-223</t>
  </si>
  <si>
    <t>HCFC-224</t>
  </si>
  <si>
    <t>HCFC-225</t>
  </si>
  <si>
    <t>HCFC-226</t>
  </si>
  <si>
    <t>HCFC-231</t>
  </si>
  <si>
    <t>HCFC-232</t>
  </si>
  <si>
    <t>HCFC-233</t>
  </si>
  <si>
    <t>HCFC-234</t>
  </si>
  <si>
    <t>HCFC-235</t>
  </si>
  <si>
    <t>HCFC-241</t>
  </si>
  <si>
    <t>HCFC-242</t>
  </si>
  <si>
    <t>HCFC-243</t>
  </si>
  <si>
    <t>HCFC-244</t>
  </si>
  <si>
    <t>HCFC-251</t>
  </si>
  <si>
    <t>HCFC-252</t>
  </si>
  <si>
    <t>HCFC-253</t>
  </si>
  <si>
    <t>HCFC-261</t>
  </si>
  <si>
    <t>HCFC-262</t>
  </si>
  <si>
    <t>Low vision</t>
  </si>
  <si>
    <t>Low vision, ozone depletion pathway</t>
  </si>
  <si>
    <t>Malnutrition, climate change</t>
  </si>
  <si>
    <t>Working capacity, climate change</t>
  </si>
  <si>
    <t>Diarrhea, climate change</t>
  </si>
  <si>
    <t>Crop, climate change</t>
  </si>
  <si>
    <t>Fruit&amp;veg, climate change</t>
  </si>
  <si>
    <t>Wood, climate change</t>
  </si>
  <si>
    <t>Meat&amp;fish, climate change</t>
  </si>
  <si>
    <t>Drinking water, climate change</t>
  </si>
  <si>
    <t>Irrigation water, climate change</t>
  </si>
  <si>
    <t>Energy access, climate change</t>
  </si>
  <si>
    <t>Housing, climate change</t>
  </si>
  <si>
    <t>Separations, climate change</t>
  </si>
  <si>
    <t>NEX, climate change</t>
  </si>
  <si>
    <t>YOLL, ozone
 depletion</t>
  </si>
  <si>
    <t>YOLL, 
climate change</t>
  </si>
  <si>
    <t>ozone depletion</t>
  </si>
  <si>
    <t>Poisoning</t>
  </si>
  <si>
    <t>Skin cancer</t>
  </si>
  <si>
    <t>Crop</t>
  </si>
  <si>
    <t>Climate change</t>
  </si>
  <si>
    <t>Drinking
 water</t>
  </si>
  <si>
    <t>Impacts from waste is normally evaluated in terms of the substances that make up the waste.</t>
  </si>
  <si>
    <t xml:space="preserve"> An exception is littering to soil and water, where there is a common impact regardless of the chemical composition.</t>
  </si>
  <si>
    <t>Meat&amp;fish</t>
  </si>
  <si>
    <t>uncertainty</t>
  </si>
  <si>
    <t>best estimate</t>
  </si>
  <si>
    <t>Litter to ground</t>
  </si>
  <si>
    <t>Tourism &amp; recreational areas</t>
  </si>
  <si>
    <t>Agriculture and Aquaculture</t>
  </si>
  <si>
    <t xml:space="preserve">Annual&amp;perennial non-timber crops </t>
  </si>
  <si>
    <t>Wood &amp; pulp plantations</t>
  </si>
  <si>
    <t>Livestock farming and ranching</t>
  </si>
  <si>
    <t>Marine and freshwater aquaculture</t>
  </si>
  <si>
    <t>Energy production and mining</t>
  </si>
  <si>
    <t>Oil and gas drilling</t>
  </si>
  <si>
    <t>Mining and quarrying</t>
  </si>
  <si>
    <t>Renewable energy</t>
  </si>
  <si>
    <t>Transportation and service corridors</t>
  </si>
  <si>
    <t>Roads and railroads</t>
  </si>
  <si>
    <t>Utility and service lines</t>
  </si>
  <si>
    <t xml:space="preserve">Biological resource use </t>
  </si>
  <si>
    <t>Logging and wood harvesting</t>
  </si>
  <si>
    <t>Land use activity</t>
  </si>
  <si>
    <t>Housing and urban areas, forestland</t>
  </si>
  <si>
    <t>Housing and urban areas, arable land</t>
  </si>
  <si>
    <t>Housing and urban areas, impediment</t>
  </si>
  <si>
    <t>Commercial &amp; industrial areas, arable land</t>
  </si>
  <si>
    <t>Commercial &amp; industrial areas, forestland</t>
  </si>
  <si>
    <t>Commercial &amp; industrial areas, impediment</t>
  </si>
  <si>
    <t>Uncer
tainty</t>
  </si>
  <si>
    <t>Index,
(ELU/unit)</t>
  </si>
  <si>
    <t>?</t>
  </si>
  <si>
    <t>Damage cost</t>
  </si>
  <si>
    <t>Aldicarb [ISO]</t>
  </si>
  <si>
    <t>IARC 53</t>
  </si>
  <si>
    <t>Brodifacoum [ISO]</t>
  </si>
  <si>
    <t>Bromadiolone [ISO]</t>
  </si>
  <si>
    <t>Bromethalin [ISO]</t>
  </si>
  <si>
    <t>Calcium cyanide [C]</t>
  </si>
  <si>
    <t>Captafol [ISO]</t>
  </si>
  <si>
    <t xml:space="preserve">Chlorethoxyfos [ISO] </t>
  </si>
  <si>
    <t>Chlormephos [ISO]</t>
  </si>
  <si>
    <t>Chlorophacinone [ISO]</t>
  </si>
  <si>
    <t>Difenacoum [ISO]</t>
  </si>
  <si>
    <t>Difethialone [ISO]</t>
  </si>
  <si>
    <t>Diphacinone [ISO]</t>
  </si>
  <si>
    <t>Disulfoton [ISO]</t>
  </si>
  <si>
    <t>EPN</t>
  </si>
  <si>
    <t>Ethoprophos [ISO]</t>
  </si>
  <si>
    <t>Flocoumafen</t>
  </si>
  <si>
    <t>Hexachlorobenzene [ISO]</t>
  </si>
  <si>
    <t>IARC 79;</t>
  </si>
  <si>
    <t>Mercuric chloride [ISO]</t>
  </si>
  <si>
    <t>Mevinphos [ISO]</t>
  </si>
  <si>
    <t>Parathion [ISO]</t>
  </si>
  <si>
    <t>IARC30, suppl. 7</t>
  </si>
  <si>
    <t>Parathion-methyl [ISO]</t>
  </si>
  <si>
    <t>Phenylmercury acetate [ISO]</t>
  </si>
  <si>
    <t>Phorate [ISO]</t>
  </si>
  <si>
    <t>Sodium fluoroacetate [C]</t>
  </si>
  <si>
    <t>Sulfotep [ISO]</t>
  </si>
  <si>
    <t>Tebupirimfos [ISO*]</t>
  </si>
  <si>
    <t>Terbufos [ISO]</t>
  </si>
  <si>
    <t>LD50</t>
  </si>
  <si>
    <t xml:space="preserve">Acrolein [C] </t>
  </si>
  <si>
    <t>IARC 63;</t>
  </si>
  <si>
    <t>Allyl alcohol [C]</t>
  </si>
  <si>
    <t>Azinphos-ethyl [ISO]</t>
  </si>
  <si>
    <t>Azinphos-methyl [ISO]</t>
  </si>
  <si>
    <t>Blasticidin-S</t>
  </si>
  <si>
    <t>Butocarboxim [ISO]</t>
  </si>
  <si>
    <t>Butoxycarboxim [ISO]</t>
  </si>
  <si>
    <t>Cadusafos [ISO]</t>
  </si>
  <si>
    <t>Calcium arsenate [C]</t>
  </si>
  <si>
    <t>IARC 84</t>
  </si>
  <si>
    <t>Carbofuran [ISO]</t>
  </si>
  <si>
    <t>Chlorfenvinphos [ISO]</t>
  </si>
  <si>
    <t>3-Chloro-1,2-propanediol</t>
  </si>
  <si>
    <t>Coumaphos [ISO]</t>
  </si>
  <si>
    <t>Coumatetralyl [ISO]</t>
  </si>
  <si>
    <t>Cyfluthrin [ISO]</t>
  </si>
  <si>
    <t>Beta-cyfluthrin [ISO]</t>
  </si>
  <si>
    <t>Zeta-cypermethrin [ISO]</t>
  </si>
  <si>
    <t>Demeton-S-methyl [ISO]</t>
  </si>
  <si>
    <t>Dichlorvos [ISO]</t>
  </si>
  <si>
    <t>IARC 20, 53</t>
  </si>
  <si>
    <t>Dicrotophos [ISO]</t>
  </si>
  <si>
    <t>Dinoterb [ISO]</t>
  </si>
  <si>
    <t>DNOC [ISO]</t>
  </si>
  <si>
    <t>Edifenphos [ISO]</t>
  </si>
  <si>
    <t>Ethiofencarb [ISO]</t>
  </si>
  <si>
    <t>Famphur</t>
  </si>
  <si>
    <t>Fenamiphos [ISO]</t>
  </si>
  <si>
    <t>Flucythrinate [ISO]</t>
  </si>
  <si>
    <t>Fluoroacetamide [C]</t>
  </si>
  <si>
    <t>Formetanate [ISO]</t>
  </si>
  <si>
    <t>Furathiocarb</t>
  </si>
  <si>
    <t>Heptenophos [ISO]</t>
  </si>
  <si>
    <t>Isoxathion [ISO]</t>
  </si>
  <si>
    <t>Lead arsenate [C]</t>
  </si>
  <si>
    <t>Mecarbam [ISO]</t>
  </si>
  <si>
    <t>Mercuric oxide [ISO]</t>
  </si>
  <si>
    <t>Methamidophos [ISO]</t>
  </si>
  <si>
    <t>Methidathion [ISO]</t>
  </si>
  <si>
    <t>Methiocarb [ISO]</t>
  </si>
  <si>
    <t>Methomyl [ISO]</t>
  </si>
  <si>
    <t>Monocrotophos [ISO]</t>
  </si>
  <si>
    <t>Nicotine [ISO]</t>
  </si>
  <si>
    <t>Omethoate [ISO]</t>
  </si>
  <si>
    <t>Oxamyl [ISO]</t>
  </si>
  <si>
    <t>Oxydemeton-methyl [ISO]</t>
  </si>
  <si>
    <t>Paris green [C]</t>
  </si>
  <si>
    <t>Copper-arsenic complex</t>
  </si>
  <si>
    <t>Pentachlorophenol [ISO]</t>
  </si>
  <si>
    <t>Propetamphos [ISO]</t>
  </si>
  <si>
    <t>Sodium arsenite [C]</t>
  </si>
  <si>
    <t>Sodium cyanide [C]</t>
  </si>
  <si>
    <t>Strychnine [C]</t>
  </si>
  <si>
    <t>Tefluthrin</t>
  </si>
  <si>
    <t>Thallium sulfate [C]</t>
  </si>
  <si>
    <t>Thiofanox [ISO]</t>
  </si>
  <si>
    <t>Thiometon [ISO]</t>
  </si>
  <si>
    <t>Triazophos [ISO]</t>
  </si>
  <si>
    <t>Vamidothion [ISO]</t>
  </si>
  <si>
    <t>Warfarin [ISO]</t>
  </si>
  <si>
    <t>Zinc phosphide [C]</t>
  </si>
  <si>
    <t>remarks</t>
  </si>
  <si>
    <t>Acephate [ISO]</t>
  </si>
  <si>
    <t>Acifluorfen [ISO]</t>
  </si>
  <si>
    <t>Alachlor [ISO]</t>
  </si>
  <si>
    <t>IARC 19</t>
  </si>
  <si>
    <t>Alanycarb [ISO]</t>
  </si>
  <si>
    <t>Allethrin [ISO]</t>
  </si>
  <si>
    <t>Ametryn [ISO]</t>
  </si>
  <si>
    <t>Amitraz [ISO]</t>
  </si>
  <si>
    <t>Anilofos [ISO]</t>
  </si>
  <si>
    <t>Azaconazole</t>
  </si>
  <si>
    <t>Azamethiphos [ISO]</t>
  </si>
  <si>
    <t>Azocyclotin [ISO]</t>
  </si>
  <si>
    <t>Bendiocarb [ISO]</t>
  </si>
  <si>
    <t>Benfuracarb [ISO]</t>
  </si>
  <si>
    <t>Bensulide [ISO]</t>
  </si>
  <si>
    <t>Bensultap [ISO]</t>
  </si>
  <si>
    <t>Bentazone [ISO]</t>
  </si>
  <si>
    <t>Bilanafos [ISO]</t>
  </si>
  <si>
    <t>Bioallethrin [C]</t>
  </si>
  <si>
    <t>Bromoxynil [ISO]</t>
  </si>
  <si>
    <t>Bromuconazole</t>
  </si>
  <si>
    <t>116255-48-2</t>
  </si>
  <si>
    <t>Bronopol</t>
  </si>
  <si>
    <t>Butamifos [ISO]</t>
  </si>
  <si>
    <t>Butralin [ISO]</t>
  </si>
  <si>
    <t>Butroxydim [ISO]</t>
  </si>
  <si>
    <t>138164-12-2</t>
  </si>
  <si>
    <t>Butylamine [ISO]</t>
  </si>
  <si>
    <t>Carbaryl [ISO]</t>
  </si>
  <si>
    <t>Carbosulfan [ISO]</t>
  </si>
  <si>
    <t>Cartap [ISO]</t>
  </si>
  <si>
    <t>Chloralose [C]</t>
  </si>
  <si>
    <t>Chlordane [ISO]</t>
  </si>
  <si>
    <t>Chlorfenapyr [ISO]</t>
  </si>
  <si>
    <t>122453-73-0</t>
  </si>
  <si>
    <t>Chlormequat (chloride) [ISO]</t>
  </si>
  <si>
    <t>Chloroacetic acid [C]</t>
  </si>
  <si>
    <t>Chlorphonium chloride [ISO]</t>
  </si>
  <si>
    <t>Chlorpyrifos [ISO]</t>
  </si>
  <si>
    <t>Clomazone [ISO]</t>
  </si>
  <si>
    <t>Copper hydroxide [C]</t>
  </si>
  <si>
    <t>Copper oxychloride [C]</t>
  </si>
  <si>
    <t>Copper sulfate [C]</t>
  </si>
  <si>
    <t>4-CPA [ISO]</t>
  </si>
  <si>
    <t>Cuprous oxide [C]</t>
  </si>
  <si>
    <t>Cyanazine [ISO]</t>
  </si>
  <si>
    <t>Cyanophos [ISO]</t>
  </si>
  <si>
    <t>Cyhalothrin [ISO]</t>
  </si>
  <si>
    <t>Cyhexatin [ISO]</t>
  </si>
  <si>
    <t>Cymoxanil [ISO]</t>
  </si>
  <si>
    <t>Cypermethrin [ISO]</t>
  </si>
  <si>
    <t>Alpha-cypermethrin [ISO]</t>
  </si>
  <si>
    <t>Cyphenothrin [(1R)-isomers][ISO]</t>
  </si>
  <si>
    <t>Cyproconazole</t>
  </si>
  <si>
    <t>2,4-D [ISO]</t>
  </si>
  <si>
    <t>IARC 41 suppl 7</t>
  </si>
  <si>
    <t>Dazomet [ISO]</t>
  </si>
  <si>
    <t>2,4-DB</t>
  </si>
  <si>
    <t>DDT [ISO]</t>
  </si>
  <si>
    <t>Deltamethrin [ISO]</t>
  </si>
  <si>
    <t>Diazinon [ISO]</t>
  </si>
  <si>
    <t>Dicamba [ISO]</t>
  </si>
  <si>
    <t>Dichlorobenzene [C]</t>
  </si>
  <si>
    <t>Dichlorophen [ISO]</t>
  </si>
  <si>
    <t>Dichlorprop [ISO]</t>
  </si>
  <si>
    <t>Diclofop [ISO]</t>
  </si>
  <si>
    <t>Dicofol [ISO]</t>
  </si>
  <si>
    <t>Difenoconazole [ISO]</t>
  </si>
  <si>
    <t>119446-68-3</t>
  </si>
  <si>
    <t>Difenzoquat [ISO]</t>
  </si>
  <si>
    <t>Dimepiperate [ISO]</t>
  </si>
  <si>
    <t>Dimethachlor [ISO]</t>
  </si>
  <si>
    <t>Dimethipin [ISO]</t>
  </si>
  <si>
    <t>Dimethenamid [ISO]</t>
  </si>
  <si>
    <t>Dimethylarsinic acid [C]</t>
  </si>
  <si>
    <t>Dimethoate [ISO]</t>
  </si>
  <si>
    <t>Diniconazole [ISO]</t>
  </si>
  <si>
    <t>Dinobuton [ISO]</t>
  </si>
  <si>
    <t>Dinocap [ISO]</t>
  </si>
  <si>
    <t>Diphenamid [ISO]</t>
  </si>
  <si>
    <t>Diquat [ISO]</t>
  </si>
  <si>
    <t>Dithianon [ISO]</t>
  </si>
  <si>
    <t>Dodine [ISO]</t>
  </si>
  <si>
    <t>Endosulfan [ISO]</t>
  </si>
  <si>
    <t>Endothal-sodium [(ISO)]</t>
  </si>
  <si>
    <t>EPTC [ISO]</t>
  </si>
  <si>
    <t>Esfenvalerate [ISO]</t>
  </si>
  <si>
    <t>Ethion [ISO]</t>
  </si>
  <si>
    <t>Fenazaquin [ISO]</t>
  </si>
  <si>
    <t>Fenitrothion [ISO]</t>
  </si>
  <si>
    <t>Fenobucarb</t>
  </si>
  <si>
    <t>Fenothiocarb [ISO]</t>
  </si>
  <si>
    <t>Fenpropidin [ISO]</t>
  </si>
  <si>
    <t>Fenpropathrin [ISO]</t>
  </si>
  <si>
    <t>Fenpyroximate [ISO]</t>
  </si>
  <si>
    <t>134098-61-6</t>
  </si>
  <si>
    <t>Fenthion [ISO]</t>
  </si>
  <si>
    <t>Fentin acetate[(ISO)]</t>
  </si>
  <si>
    <t>Fentin hydroxide[(ISO)]</t>
  </si>
  <si>
    <t>Fenvalerate [ISO]</t>
  </si>
  <si>
    <t>Ferimzone [ISO]</t>
  </si>
  <si>
    <t>120068-37-3</t>
  </si>
  <si>
    <t>Fluchloralin [ISO]</t>
  </si>
  <si>
    <t>Flufenacet [ISO]</t>
  </si>
  <si>
    <t>Fluoroglycofen</t>
  </si>
  <si>
    <t>Flurprimidol [ISO]</t>
  </si>
  <si>
    <t>Flusilazole</t>
  </si>
  <si>
    <t>Flutriafol [ISO]</t>
  </si>
  <si>
    <t>Fluxofenim [ISO]</t>
  </si>
  <si>
    <t>Fomesafen [ISO]</t>
  </si>
  <si>
    <t>Fuberidazole [ISO]</t>
  </si>
  <si>
    <t>Furalaxyl [ISO]</t>
  </si>
  <si>
    <t>Gamma-HCH [ISO], Lindane</t>
  </si>
  <si>
    <t>Glufosinate [ISO]</t>
  </si>
  <si>
    <t>Guazatine</t>
  </si>
  <si>
    <t xml:space="preserve">Haloxyfop </t>
  </si>
  <si>
    <t>HCH [ISO]</t>
  </si>
  <si>
    <t>IARC 5, 20, 42</t>
  </si>
  <si>
    <t>Hexazinone [ISO]</t>
  </si>
  <si>
    <t>Hydramethylnon</t>
  </si>
  <si>
    <t>Imazalil [ISO]</t>
  </si>
  <si>
    <t>Imidacloprid [ISO]</t>
  </si>
  <si>
    <t>138261-41-3</t>
  </si>
  <si>
    <t>Iminoctadine [ISO]</t>
  </si>
  <si>
    <t>Indoxacarb [ISO]</t>
  </si>
  <si>
    <t>173584-44-6</t>
  </si>
  <si>
    <t>Ioxynil [ISO]</t>
  </si>
  <si>
    <t>Ioxynil octanoate [(ISO)]</t>
  </si>
  <si>
    <t>Iprobenfos</t>
  </si>
  <si>
    <t>Isoprocarb [ISO]</t>
  </si>
  <si>
    <t>Isoprothiolane [ISO]</t>
  </si>
  <si>
    <t>Isoproturon [ISO]</t>
  </si>
  <si>
    <t>Isouron [ISO]</t>
  </si>
  <si>
    <t>MCPA [ISO]</t>
  </si>
  <si>
    <t>IARC 30, 41</t>
  </si>
  <si>
    <t>MCPA-thioethyl [ISO]</t>
  </si>
  <si>
    <t>MCPB [ISO]</t>
  </si>
  <si>
    <t>Mecoprop [ISO]</t>
  </si>
  <si>
    <t>Mecoprop-P [ISO]</t>
  </si>
  <si>
    <t>Mefluidide [ISO]</t>
  </si>
  <si>
    <t>Mepiquat [ISO]</t>
  </si>
  <si>
    <t>Mercurous chloride [C]</t>
  </si>
  <si>
    <t>Metalaxyl [ISO]</t>
  </si>
  <si>
    <t>Metaldehyde [ISO]</t>
  </si>
  <si>
    <t>Metamitron [ISO]</t>
  </si>
  <si>
    <t>Metam-sodium [(ISO)]</t>
  </si>
  <si>
    <t>Metconazole [ISO]</t>
  </si>
  <si>
    <t>Methacrifos [ISO]</t>
  </si>
  <si>
    <t>Methasulfocarb [ISO]</t>
  </si>
  <si>
    <t>Methylarsonic acid [ISO]</t>
  </si>
  <si>
    <t>Methyl isothiocyanate [ISO]</t>
  </si>
  <si>
    <t>Metolcarb [ISO]</t>
  </si>
  <si>
    <t>Metribuzin [ISO]</t>
  </si>
  <si>
    <t>Molinate [ISO]</t>
  </si>
  <si>
    <t>Myclobutanil</t>
  </si>
  <si>
    <t>Nabam [ISO]</t>
  </si>
  <si>
    <t>Naled [ISO]</t>
  </si>
  <si>
    <t>2-Napthyloxyacetic acid [ISO]</t>
  </si>
  <si>
    <t>Nitrapyrin [ISO]</t>
  </si>
  <si>
    <t>Nuarimol [ISO]</t>
  </si>
  <si>
    <t>Octhilinone [ISO]</t>
  </si>
  <si>
    <t>Oxadixyl</t>
  </si>
  <si>
    <t>Paclobutrazol [ISO]</t>
  </si>
  <si>
    <t>Paraquat [ISO]</t>
  </si>
  <si>
    <t>Pebulate [ISO]</t>
  </si>
  <si>
    <t>Pendimethalin [ISO]</t>
  </si>
  <si>
    <t>Permethrin [ISO]</t>
  </si>
  <si>
    <t>Phenthoate [ISO]</t>
  </si>
  <si>
    <t>Phosalone [ISO]</t>
  </si>
  <si>
    <t>Phosmet [ISO]</t>
  </si>
  <si>
    <t>Phoxim [ISO]</t>
  </si>
  <si>
    <t>Piperophos [ISO]</t>
  </si>
  <si>
    <t>Pirimicarb [ISO]</t>
  </si>
  <si>
    <t>Pirimiphos-methyl [ISO]</t>
  </si>
  <si>
    <t>Prallethrin [ISO]</t>
  </si>
  <si>
    <t>Prochloraz [ISO]</t>
  </si>
  <si>
    <t>Profenofos [ISO]</t>
  </si>
  <si>
    <t>Propachlor [ISO]</t>
  </si>
  <si>
    <t>Propanil [ISO]</t>
  </si>
  <si>
    <t>Propiconazole [ISO]</t>
  </si>
  <si>
    <t>Propoxur [ISO]</t>
  </si>
  <si>
    <t>Prosulfocarb [ISO]</t>
  </si>
  <si>
    <t>Prothiofos [ISO]</t>
  </si>
  <si>
    <t>Pyraclofos [ISO]</t>
  </si>
  <si>
    <t>Pyrazophos [ISO]</t>
  </si>
  <si>
    <t>Pyrazoxyfen [ISO]</t>
  </si>
  <si>
    <t>Pyrethrins [C]</t>
  </si>
  <si>
    <t>Pyridaben [ISO]</t>
  </si>
  <si>
    <t>Pyridaphenthion</t>
  </si>
  <si>
    <t>Pyroquilon [ISO]</t>
  </si>
  <si>
    <t>Quinalphos [ISO]</t>
  </si>
  <si>
    <t>Quinoclamine [ISO]</t>
  </si>
  <si>
    <t>Quizalofop</t>
  </si>
  <si>
    <t>Quizalofop-p-tefuryl [ISO]</t>
  </si>
  <si>
    <t>Rotenone [C]</t>
  </si>
  <si>
    <t>Simetryn [ISO]</t>
  </si>
  <si>
    <t>Sodium chlorate [ISO]</t>
  </si>
  <si>
    <t>Spiroxamine [ISO]</t>
  </si>
  <si>
    <t>118134-30-8</t>
  </si>
  <si>
    <t>Sulfluramid [ISO]</t>
  </si>
  <si>
    <t>2,3,6-TBA [ISO]</t>
  </si>
  <si>
    <t>TCA [ISO] (acid)</t>
  </si>
  <si>
    <t>Tebuconazole [ISO]</t>
  </si>
  <si>
    <t>Tebufenpyrad [ISO]</t>
  </si>
  <si>
    <t>Tebuthiuron [ISO]</t>
  </si>
  <si>
    <t>Terbumeton [ISO]</t>
  </si>
  <si>
    <t>Tetraconazole [ISO]</t>
  </si>
  <si>
    <t>Thiacloprid</t>
  </si>
  <si>
    <t>111988-49-9</t>
  </si>
  <si>
    <t>Thiobencarb [ISO]</t>
  </si>
  <si>
    <t>Thiocyclam [ISO]</t>
  </si>
  <si>
    <t>Thiodicarb [ISO]</t>
  </si>
  <si>
    <t>Thiram [ISO]</t>
  </si>
  <si>
    <t>IARC 12, 53</t>
  </si>
  <si>
    <t>Tralkoxydim [ISO]</t>
  </si>
  <si>
    <t>Tralomethrin</t>
  </si>
  <si>
    <t>Triadimefon [ISO]</t>
  </si>
  <si>
    <t>Triadimenol [ISO]</t>
  </si>
  <si>
    <t>Triazamate [ISO]</t>
  </si>
  <si>
    <t>112143-82-5</t>
  </si>
  <si>
    <t>Trichlorfon [ISO]</t>
  </si>
  <si>
    <t>IARC 30, suppl.7</t>
  </si>
  <si>
    <t>Triclopyr [ISO]</t>
  </si>
  <si>
    <t>Tricyclazole [ISO]</t>
  </si>
  <si>
    <t>Tridemorph [ISO]</t>
  </si>
  <si>
    <t>Triflumizole</t>
  </si>
  <si>
    <t>Uniconazole [ISO]</t>
  </si>
  <si>
    <t>XMC</t>
  </si>
  <si>
    <t>Xylylcarb</t>
  </si>
  <si>
    <t>Ziram [ISO]</t>
  </si>
  <si>
    <t>YOLL, 
acute tox</t>
  </si>
  <si>
    <t>Poisoning
personyear</t>
  </si>
  <si>
    <t>Biodiversity, 
NEX</t>
  </si>
  <si>
    <t>Cu-ore</t>
  </si>
  <si>
    <t>As-ore</t>
  </si>
  <si>
    <t>Hg-ore</t>
  </si>
  <si>
    <t>Zn-ore</t>
  </si>
  <si>
    <t>Pb-ore</t>
  </si>
  <si>
    <t>kg produced</t>
  </si>
  <si>
    <t>oxygen deficiency</t>
  </si>
  <si>
    <t>BOD to freshwater</t>
  </si>
  <si>
    <t>BOD to seawater</t>
  </si>
  <si>
    <t>COD to freshwater</t>
  </si>
  <si>
    <t>COD to seawater</t>
  </si>
  <si>
    <t>N-tot to freshwater</t>
  </si>
  <si>
    <t>N-tot to seawater</t>
  </si>
  <si>
    <t>P-tot to freshwater</t>
  </si>
  <si>
    <t>P-tot to seawater</t>
  </si>
  <si>
    <t>Damage cost,
 EUR/kg</t>
  </si>
  <si>
    <t>Oxygen deficiency</t>
  </si>
  <si>
    <t>eutrophication</t>
  </si>
  <si>
    <t>Fish&amp;meat production capacity</t>
  </si>
  <si>
    <t>cancer</t>
  </si>
  <si>
    <t>PM&gt;10 to air</t>
  </si>
  <si>
    <t>PM10 to air</t>
  </si>
  <si>
    <t>PM2.5 to air</t>
  </si>
  <si>
    <t>BC to air</t>
  </si>
  <si>
    <t>OC to air</t>
  </si>
  <si>
    <t>As to air</t>
  </si>
  <si>
    <t>Cd to air</t>
  </si>
  <si>
    <t>Cr to air</t>
  </si>
  <si>
    <t>Cu to air</t>
  </si>
  <si>
    <t>Ni to air</t>
  </si>
  <si>
    <t>soil mineralisation</t>
  </si>
  <si>
    <t>Intellectual disability: mild</t>
  </si>
  <si>
    <t>Hg to air as trace element</t>
  </si>
  <si>
    <t>Hg to air from bulk handling</t>
  </si>
  <si>
    <t>kg Hg</t>
  </si>
  <si>
    <t>dispersion</t>
  </si>
  <si>
    <t>Depletion of Ni reserves</t>
  </si>
  <si>
    <t>Nickel ore</t>
  </si>
  <si>
    <t>Depletion of Tm reserves</t>
  </si>
  <si>
    <t>Pb-210</t>
  </si>
  <si>
    <t>Po-210</t>
  </si>
  <si>
    <t>Rn-222</t>
  </si>
  <si>
    <t>Ra-226</t>
  </si>
  <si>
    <t>Th-230</t>
  </si>
  <si>
    <t>U-234</t>
  </si>
  <si>
    <t>U-238</t>
  </si>
  <si>
    <t>H-3</t>
  </si>
  <si>
    <t>C-14</t>
  </si>
  <si>
    <t>Kr-85</t>
  </si>
  <si>
    <t>I-129</t>
  </si>
  <si>
    <t>Collective
 dose per unit release</t>
  </si>
  <si>
    <t>U-235</t>
  </si>
  <si>
    <t>manSv/TBq</t>
  </si>
  <si>
    <t>negligable impact</t>
  </si>
  <si>
    <t>Emissions to air from the nuclear fuel cycle</t>
  </si>
  <si>
    <t>Emissions to water  the nuclear fuel cycle</t>
  </si>
  <si>
    <t>Cancer
 personyr</t>
  </si>
  <si>
    <t>Damage cost,
 EUR/TBq</t>
  </si>
  <si>
    <t>Building technology</t>
  </si>
  <si>
    <t>Capacity</t>
  </si>
  <si>
    <t>Efficiency</t>
  </si>
  <si>
    <t>Energy technology</t>
  </si>
  <si>
    <t>Transport technology</t>
  </si>
  <si>
    <t>Environmental technology</t>
  </si>
  <si>
    <t>Drinking water devilery capacity</t>
  </si>
  <si>
    <t>Food technology</t>
  </si>
  <si>
    <t>Textile technology</t>
  </si>
  <si>
    <t>Information technology</t>
  </si>
  <si>
    <t>Environmental</t>
  </si>
  <si>
    <t>Social</t>
  </si>
  <si>
    <t>State indicator type</t>
  </si>
  <si>
    <t>Economical</t>
  </si>
  <si>
    <t>Income</t>
  </si>
  <si>
    <t>GNP/capita</t>
  </si>
  <si>
    <t>EUR</t>
  </si>
  <si>
    <t>Monetary</t>
  </si>
  <si>
    <t>Culture</t>
  </si>
  <si>
    <t>Jobs, occupation</t>
  </si>
  <si>
    <t>Land availability</t>
  </si>
  <si>
    <t>Social security</t>
  </si>
  <si>
    <t>Parental leave</t>
  </si>
  <si>
    <t>Continuity in relations</t>
  </si>
  <si>
    <t>Separations</t>
  </si>
  <si>
    <t>Culture consumption</t>
  </si>
  <si>
    <t>Free press</t>
  </si>
  <si>
    <t>Education</t>
  </si>
  <si>
    <t>Culture, knowledge</t>
  </si>
  <si>
    <t>Employment</t>
  </si>
  <si>
    <t>pesonyears</t>
  </si>
  <si>
    <t>nr</t>
  </si>
  <si>
    <t>Quantitative, not monetized</t>
  </si>
  <si>
    <t>Quantitative, monetized, flow related</t>
  </si>
  <si>
    <t>Poverty</t>
  </si>
  <si>
    <t>Income equality</t>
  </si>
  <si>
    <t>Population</t>
  </si>
  <si>
    <t>nr of persons</t>
  </si>
  <si>
    <t>EUR or ratio</t>
  </si>
  <si>
    <t>Social security, peace</t>
  </si>
  <si>
    <t>Culture, peace</t>
  </si>
  <si>
    <t>Average NMVOC</t>
  </si>
  <si>
    <t>Impact index, v2014, (ELU/kg , ELU/m3 or ELU/MJ)</t>
  </si>
  <si>
    <t>Infarcts</t>
  </si>
  <si>
    <t>sleep disturbance</t>
  </si>
  <si>
    <t>relative power of noise from road traffic, 10^(dBA/10)</t>
  </si>
  <si>
    <t>ELU/relative power</t>
  </si>
  <si>
    <t>Noise emission from one vehicle (db)</t>
  </si>
  <si>
    <t>Damage cost,
 EUR/power unit</t>
  </si>
  <si>
    <t>m2</t>
  </si>
  <si>
    <t>Quantitative, monetizeable, function related</t>
  </si>
  <si>
    <t>Volume stored</t>
  </si>
  <si>
    <t>number</t>
  </si>
  <si>
    <t>per unit</t>
  </si>
  <si>
    <t>Delivery capacity of electricity</t>
  </si>
  <si>
    <t>Cost per living area and time</t>
  </si>
  <si>
    <t>Cost perkWh</t>
  </si>
  <si>
    <t>Cost per m3 water</t>
  </si>
  <si>
    <t>Cost per volume transferred</t>
  </si>
  <si>
    <t>Cost per mass and distance</t>
  </si>
  <si>
    <t>Cost per person and distance</t>
  </si>
  <si>
    <t>EURs/m2year</t>
  </si>
  <si>
    <t>EURs/m3</t>
  </si>
  <si>
    <t>EURs/tonkm</t>
  </si>
  <si>
    <t>Skin cancer, 
ozone depletion</t>
  </si>
  <si>
    <t>housing availability</t>
  </si>
  <si>
    <t>Abundance in earth's upper 
continental crust (mg/kg)</t>
  </si>
  <si>
    <t>Green process</t>
  </si>
  <si>
    <t>m3/day</t>
  </si>
  <si>
    <t>Mcal/day</t>
  </si>
  <si>
    <t>EUR/Mcal</t>
  </si>
  <si>
    <t>Cost per  food unit</t>
  </si>
  <si>
    <t>EUR/kWh</t>
  </si>
  <si>
    <t>EUR/kg</t>
  </si>
  <si>
    <t>Cost per unit clothing</t>
  </si>
  <si>
    <t>kg/year</t>
  </si>
  <si>
    <t>TB</t>
  </si>
  <si>
    <t>EUR/TB</t>
  </si>
  <si>
    <t>tonkm/year</t>
  </si>
  <si>
    <t>EUR/personkm</t>
  </si>
  <si>
    <t>personkm/year</t>
  </si>
  <si>
    <t>.</t>
  </si>
  <si>
    <t>Production of Charcoal</t>
  </si>
  <si>
    <t>Total cost (external + internal)</t>
  </si>
  <si>
    <t>Sustainable production of metals</t>
  </si>
  <si>
    <t>Uncertainty
 factor</t>
  </si>
  <si>
    <t>Worksheet 2 summarizing state indicators (endpoint category indicators) and their monetary values</t>
  </si>
  <si>
    <t>Worksheets 3 to 6 that describe how monetary values of state indicators for abiotic resources have been determined</t>
  </si>
  <si>
    <t>Worksheet 14, where characterisation factors and damage costs of noise is calculated</t>
  </si>
  <si>
    <t>Worksheet 15 modelling characterisation factors and damage costs for land use</t>
  </si>
  <si>
    <t>Worksheet 16 adressing unmanaged waste</t>
  </si>
  <si>
    <t>HBr</t>
  </si>
  <si>
    <t>HCN</t>
  </si>
  <si>
    <t>O3</t>
  </si>
  <si>
    <t>1-Butoxypropanol (Butyl diglycol acetate)</t>
  </si>
  <si>
    <t>2,2,3,4,4,4-Hexafluoro-1-butanol Hexafluoropropyl methyl ether</t>
  </si>
  <si>
    <t>Plastic litter to water</t>
  </si>
  <si>
    <t>PAH</t>
  </si>
  <si>
    <t>cells marked yellow contains information derived in other cells and should not be changed</t>
  </si>
  <si>
    <t>cost, €/kg</t>
  </si>
  <si>
    <r>
      <t>Contribution mean, ( kg</t>
    </r>
    <r>
      <rPr>
        <vertAlign val="superscript"/>
        <sz val="10"/>
        <rFont val="Arial"/>
        <family val="2"/>
      </rPr>
      <t>-1</t>
    </r>
    <r>
      <rPr>
        <sz val="10"/>
        <rFont val="Arial"/>
        <family val="2"/>
      </rPr>
      <t>)</t>
    </r>
  </si>
  <si>
    <t>As to freshwater</t>
  </si>
  <si>
    <t>bladder cancer</t>
  </si>
  <si>
    <t>cardiovascular mortality</t>
  </si>
  <si>
    <t>skin cancer</t>
  </si>
  <si>
    <t>Cd to freshwater</t>
  </si>
  <si>
    <t>Osteoporosis</t>
  </si>
  <si>
    <t>Intake via drinking water</t>
  </si>
  <si>
    <t>Renal dysfunction</t>
  </si>
  <si>
    <t>cases</t>
  </si>
  <si>
    <t>Cr6+ to freshwater</t>
  </si>
  <si>
    <t>Ni to freshwater</t>
  </si>
  <si>
    <t>Pb to freshwater</t>
  </si>
  <si>
    <t>Hg to water</t>
  </si>
  <si>
    <t>diarrhoea</t>
  </si>
  <si>
    <t>Contribution mean,</t>
  </si>
  <si>
    <t xml:space="preserve"> 10^(dBA/10)</t>
  </si>
  <si>
    <t>Residential &amp; commercial developments in cities &gt; 0.5 million inhabitants</t>
  </si>
  <si>
    <t>Residential &amp; commercial developments in rural and cities &lt; 0.5 million inhabitants</t>
  </si>
  <si>
    <t>Mining area</t>
  </si>
  <si>
    <t>m2yr</t>
  </si>
  <si>
    <t>Bio oil</t>
  </si>
  <si>
    <t>cardiovascular mortalllity</t>
  </si>
  <si>
    <t>Polychlorinated dibenzo-p-furans (2,3,7,8 - TCDD eq.)</t>
  </si>
  <si>
    <t>case</t>
  </si>
  <si>
    <t>000079-11-8</t>
  </si>
  <si>
    <t>091465-08-6</t>
  </si>
  <si>
    <t>002597-03-7</t>
  </si>
  <si>
    <t>007775-09-9</t>
  </si>
  <si>
    <t>000076-03-9</t>
  </si>
  <si>
    <t>002425-10-7</t>
  </si>
  <si>
    <t>x</t>
  </si>
  <si>
    <t>000050-31-7</t>
  </si>
  <si>
    <t>000094-75-7</t>
  </si>
  <si>
    <t>000094-82-6</t>
  </si>
  <si>
    <t>000120-23-0</t>
  </si>
  <si>
    <t>000096-24-2</t>
  </si>
  <si>
    <t>000122-88-3</t>
  </si>
  <si>
    <t>030560-19-1</t>
  </si>
  <si>
    <t>050594-66-6</t>
  </si>
  <si>
    <t>000107-02-8</t>
  </si>
  <si>
    <t>015972-60-8</t>
  </si>
  <si>
    <t>083130-01-2</t>
  </si>
  <si>
    <t>000116-06-3</t>
  </si>
  <si>
    <t>000584-79-2</t>
  </si>
  <si>
    <t>000107-18-6</t>
  </si>
  <si>
    <t>067375-30-8</t>
  </si>
  <si>
    <t>000834-12-8</t>
  </si>
  <si>
    <t>033089-61-1</t>
  </si>
  <si>
    <t>064249-01-0</t>
  </si>
  <si>
    <t>060207-31-0</t>
  </si>
  <si>
    <t>035575-96-3</t>
  </si>
  <si>
    <t>002642-71-9</t>
  </si>
  <si>
    <t>000086-50-0</t>
  </si>
  <si>
    <t>041083-11-8</t>
  </si>
  <si>
    <t>022781-23-3</t>
  </si>
  <si>
    <t>082560-54-1</t>
  </si>
  <si>
    <t>000741-58-2</t>
  </si>
  <si>
    <t>017606-31-4</t>
  </si>
  <si>
    <t>025057-89-0</t>
  </si>
  <si>
    <t>068359-37-5</t>
  </si>
  <si>
    <t>082657-04-3</t>
  </si>
  <si>
    <t>071048-99-2</t>
  </si>
  <si>
    <t>002079-00-7</t>
  </si>
  <si>
    <t>056073-10-0</t>
  </si>
  <si>
    <t>028772-56-7</t>
  </si>
  <si>
    <t>063333-35-7</t>
  </si>
  <si>
    <t>001689-84-5</t>
  </si>
  <si>
    <t>000052-51-7</t>
  </si>
  <si>
    <t>036335-67-8</t>
  </si>
  <si>
    <t>034681-10-2</t>
  </si>
  <si>
    <t>034681-23-7</t>
  </si>
  <si>
    <t>033629-47-9</t>
  </si>
  <si>
    <t>013952-84-6</t>
  </si>
  <si>
    <t>095465-99-9</t>
  </si>
  <si>
    <t>007778-44-1</t>
  </si>
  <si>
    <t>000592-01-8</t>
  </si>
  <si>
    <t>002425-06-1</t>
  </si>
  <si>
    <t>000063-25-2</t>
  </si>
  <si>
    <t>001563-66-2</t>
  </si>
  <si>
    <t>055285-14-8</t>
  </si>
  <si>
    <t>015263-53-3</t>
  </si>
  <si>
    <t>015879-93-3</t>
  </si>
  <si>
    <t>000057-74-9</t>
  </si>
  <si>
    <t>054593-83-8</t>
  </si>
  <si>
    <t>000470-90-6</t>
  </si>
  <si>
    <t>024934-91-6</t>
  </si>
  <si>
    <t>000999-81-5</t>
  </si>
  <si>
    <t>003691-35-8</t>
  </si>
  <si>
    <t>000115-78-6</t>
  </si>
  <si>
    <t>002921-88-2</t>
  </si>
  <si>
    <t>081777-89-1</t>
  </si>
  <si>
    <t>020427-59-2</t>
  </si>
  <si>
    <t>001332-40-7</t>
  </si>
  <si>
    <t>007758-98-7</t>
  </si>
  <si>
    <t>000056-72-4</t>
  </si>
  <si>
    <t>005836-29-3</t>
  </si>
  <si>
    <t>001317-39-1</t>
  </si>
  <si>
    <t>021725-46-2</t>
  </si>
  <si>
    <t>002636-26-2</t>
  </si>
  <si>
    <t>068085-85-8</t>
  </si>
  <si>
    <t>013121-70-5</t>
  </si>
  <si>
    <t>057966-95-7</t>
  </si>
  <si>
    <t>052315-07-8</t>
  </si>
  <si>
    <t>039515-40-7</t>
  </si>
  <si>
    <t>094361-06-5</t>
  </si>
  <si>
    <t>000533-74-4</t>
  </si>
  <si>
    <t>000050-29-3</t>
  </si>
  <si>
    <t>052918-63-5</t>
  </si>
  <si>
    <t>000919-86-8</t>
  </si>
  <si>
    <t>000333-41-5</t>
  </si>
  <si>
    <t>001918-00-9</t>
  </si>
  <si>
    <t>000106-46-7</t>
  </si>
  <si>
    <t>000097-23-4</t>
  </si>
  <si>
    <t>007547-66-2</t>
  </si>
  <si>
    <t>000062-73-7</t>
  </si>
  <si>
    <t>040483-25-2</t>
  </si>
  <si>
    <t>000115-32-2</t>
  </si>
  <si>
    <t>000141-66-2</t>
  </si>
  <si>
    <t>056073-07-5</t>
  </si>
  <si>
    <t>043222-48-6</t>
  </si>
  <si>
    <t>104653-34-1</t>
  </si>
  <si>
    <t>061432-55-1</t>
  </si>
  <si>
    <t>050563-36-5</t>
  </si>
  <si>
    <t>087674-68-8</t>
  </si>
  <si>
    <t>055290-64-7</t>
  </si>
  <si>
    <t>000060-51-5</t>
  </si>
  <si>
    <t>000075-60-5</t>
  </si>
  <si>
    <t>083657-24-3</t>
  </si>
  <si>
    <t>000973-21-7</t>
  </si>
  <si>
    <t>039300-45-3</t>
  </si>
  <si>
    <t>001420-07-1</t>
  </si>
  <si>
    <t>000082-66-6</t>
  </si>
  <si>
    <t>000957-51-7</t>
  </si>
  <si>
    <t>002764-72-9</t>
  </si>
  <si>
    <t>000298-04-4</t>
  </si>
  <si>
    <t>003347-22-6</t>
  </si>
  <si>
    <t>000534-52-1</t>
  </si>
  <si>
    <t>002439-10-3</t>
  </si>
  <si>
    <t>017109-49-8</t>
  </si>
  <si>
    <t>000115-29-7</t>
  </si>
  <si>
    <t>000125-67-9</t>
  </si>
  <si>
    <t>002104-64-5</t>
  </si>
  <si>
    <t>000759-94-4</t>
  </si>
  <si>
    <t>066230-04-4</t>
  </si>
  <si>
    <t>029973-13-5</t>
  </si>
  <si>
    <t>000563-12-2</t>
  </si>
  <si>
    <t>013194-48-4</t>
  </si>
  <si>
    <t>000052-85-7</t>
  </si>
  <si>
    <t>022224-92-6</t>
  </si>
  <si>
    <t>120928-09-8</t>
  </si>
  <si>
    <t>000122-14-5</t>
  </si>
  <si>
    <t>003766-81-2</t>
  </si>
  <si>
    <t>062850-32-2</t>
  </si>
  <si>
    <t>064257-84-7</t>
  </si>
  <si>
    <t>067306-00-7</t>
  </si>
  <si>
    <t>000055-38-9</t>
  </si>
  <si>
    <t>000900-95-8</t>
  </si>
  <si>
    <t>000076-87-9</t>
  </si>
  <si>
    <t>051630-58-1</t>
  </si>
  <si>
    <t>089269-64-7</t>
  </si>
  <si>
    <t>090035-08-8</t>
  </si>
  <si>
    <t>033245-39-5</t>
  </si>
  <si>
    <t>070124-77-5</t>
  </si>
  <si>
    <t>014245-95-8</t>
  </si>
  <si>
    <t>000640-19-7</t>
  </si>
  <si>
    <t>077501-60-1</t>
  </si>
  <si>
    <t>056425-91-3</t>
  </si>
  <si>
    <t>085509-19-9</t>
  </si>
  <si>
    <t>076674-21-0</t>
  </si>
  <si>
    <t>088485-37-4</t>
  </si>
  <si>
    <t>072178-02-0</t>
  </si>
  <si>
    <t>022259-30-9</t>
  </si>
  <si>
    <t>003878-19-1</t>
  </si>
  <si>
    <t>057646-30-7</t>
  </si>
  <si>
    <t>065907-30-4</t>
  </si>
  <si>
    <t>000058-89-9</t>
  </si>
  <si>
    <t>053369-07-6</t>
  </si>
  <si>
    <t>108173-90-6</t>
  </si>
  <si>
    <t>069806-34-4</t>
  </si>
  <si>
    <t>000608-73-1</t>
  </si>
  <si>
    <t>023560-59-0</t>
  </si>
  <si>
    <t>000118-74-1</t>
  </si>
  <si>
    <t>051235-04-2</t>
  </si>
  <si>
    <t>067485-29-4</t>
  </si>
  <si>
    <t>035554-44-0</t>
  </si>
  <si>
    <t>013516-27-3</t>
  </si>
  <si>
    <t>001689-83-4</t>
  </si>
  <si>
    <t>003861-47-0</t>
  </si>
  <si>
    <t>026087-47-8</t>
  </si>
  <si>
    <t>002631-40-5</t>
  </si>
  <si>
    <t>050512-35-1</t>
  </si>
  <si>
    <t>034123-59-6</t>
  </si>
  <si>
    <t>055861-78-4</t>
  </si>
  <si>
    <t>018854-04-8</t>
  </si>
  <si>
    <t>007784-40-9</t>
  </si>
  <si>
    <t>000094-74-6</t>
  </si>
  <si>
    <t>025319-90-8</t>
  </si>
  <si>
    <t>000094-81-5</t>
  </si>
  <si>
    <t>002595-54-2</t>
  </si>
  <si>
    <t>007085-19-0</t>
  </si>
  <si>
    <t>016484-77-8</t>
  </si>
  <si>
    <t>053780-34-0</t>
  </si>
  <si>
    <t>015302-91-7</t>
  </si>
  <si>
    <t>007487-94-7</t>
  </si>
  <si>
    <t>021908-53-2</t>
  </si>
  <si>
    <t>010112-91-1</t>
  </si>
  <si>
    <t>057837-19-1</t>
  </si>
  <si>
    <t>000108-62-3</t>
  </si>
  <si>
    <t>041394-05-2</t>
  </si>
  <si>
    <t>000137-42-8</t>
  </si>
  <si>
    <t>125116-23-6</t>
  </si>
  <si>
    <t>062610-77-9</t>
  </si>
  <si>
    <t>010265-92-6</t>
  </si>
  <si>
    <t>066952-49-6</t>
  </si>
  <si>
    <t>000950-37-8</t>
  </si>
  <si>
    <t>002032-65-7</t>
  </si>
  <si>
    <t>016752-77-5</t>
  </si>
  <si>
    <t>000556-61-6</t>
  </si>
  <si>
    <t>000124-58-3</t>
  </si>
  <si>
    <t>001129-41-5</t>
  </si>
  <si>
    <t>021087-64-9</t>
  </si>
  <si>
    <t>026718-65-0</t>
  </si>
  <si>
    <t>002212-67-1</t>
  </si>
  <si>
    <t>006923-22-4</t>
  </si>
  <si>
    <t>088671-89-0</t>
  </si>
  <si>
    <t>000142-59-6</t>
  </si>
  <si>
    <t>000300-76-5</t>
  </si>
  <si>
    <t>000054-11-5</t>
  </si>
  <si>
    <t>001929-82-4</t>
  </si>
  <si>
    <t>063284-71-9</t>
  </si>
  <si>
    <t>026530-20-1</t>
  </si>
  <si>
    <t>001113-02-6</t>
  </si>
  <si>
    <t>077732-09-3</t>
  </si>
  <si>
    <t>023135-22-0</t>
  </si>
  <si>
    <t>000301-12-2</t>
  </si>
  <si>
    <t>076738-62-0</t>
  </si>
  <si>
    <t>001910-42-5</t>
  </si>
  <si>
    <t>000056-38-2</t>
  </si>
  <si>
    <t>000298-00-0</t>
  </si>
  <si>
    <t>012002-03-8</t>
  </si>
  <si>
    <t>001114-71-2</t>
  </si>
  <si>
    <t>040487-42-1</t>
  </si>
  <si>
    <t>000087-86-5</t>
  </si>
  <si>
    <t>052645-53-1</t>
  </si>
  <si>
    <t>000062-38-4</t>
  </si>
  <si>
    <t>000298-02-2</t>
  </si>
  <si>
    <t>002310-17-0</t>
  </si>
  <si>
    <t>000732-11-6</t>
  </si>
  <si>
    <t>013171-21-6</t>
  </si>
  <si>
    <t>014816-18-3</t>
  </si>
  <si>
    <t>024151-93-7</t>
  </si>
  <si>
    <t>023103-98-2</t>
  </si>
  <si>
    <t>029232-93-7</t>
  </si>
  <si>
    <t>023031-36-9</t>
  </si>
  <si>
    <t>067747-09-5</t>
  </si>
  <si>
    <t>041198-08-7</t>
  </si>
  <si>
    <t>001918-16-7</t>
  </si>
  <si>
    <t>000709-98-8</t>
  </si>
  <si>
    <t>031218-83-4</t>
  </si>
  <si>
    <t>060207-90-1</t>
  </si>
  <si>
    <t>000114-26-1</t>
  </si>
  <si>
    <t>052888-80-9</t>
  </si>
  <si>
    <t>034643-46-4</t>
  </si>
  <si>
    <t>077458-01-6</t>
  </si>
  <si>
    <t>013457-18-6</t>
  </si>
  <si>
    <t>071561-11-0</t>
  </si>
  <si>
    <t>008003-34-7</t>
  </si>
  <si>
    <t>096489-71-3</t>
  </si>
  <si>
    <t>000119-12-0</t>
  </si>
  <si>
    <t>057369-32-1</t>
  </si>
  <si>
    <t>013593-03-8</t>
  </si>
  <si>
    <t>002797-51-5</t>
  </si>
  <si>
    <t>076578-12-6</t>
  </si>
  <si>
    <t>119738-06-6</t>
  </si>
  <si>
    <t>001014-70-6</t>
  </si>
  <si>
    <t>007784-46-5</t>
  </si>
  <si>
    <t>000143-33-9</t>
  </si>
  <si>
    <t>000062-74-8</t>
  </si>
  <si>
    <t>000057-24-9</t>
  </si>
  <si>
    <t>004151-50-2</t>
  </si>
  <si>
    <t>003689-24-5</t>
  </si>
  <si>
    <t>107534-96-3</t>
  </si>
  <si>
    <t>119168-77-3</t>
  </si>
  <si>
    <t>096182-53-5</t>
  </si>
  <si>
    <t>034014-18-1</t>
  </si>
  <si>
    <t>079538-32-2</t>
  </si>
  <si>
    <t>013071-79-9</t>
  </si>
  <si>
    <t>033693-04-8</t>
  </si>
  <si>
    <t>112281-77-3</t>
  </si>
  <si>
    <t>007446-18-6</t>
  </si>
  <si>
    <t>028249-77-6</t>
  </si>
  <si>
    <t>031895-22-4</t>
  </si>
  <si>
    <t>059669-26-0</t>
  </si>
  <si>
    <t>039196-18-4</t>
  </si>
  <si>
    <t>000640-15-3</t>
  </si>
  <si>
    <t>000137-26-8</t>
  </si>
  <si>
    <t>087820-88-0</t>
  </si>
  <si>
    <t>066841-25-6</t>
  </si>
  <si>
    <t>043121-43-3</t>
  </si>
  <si>
    <t>055219-65-3</t>
  </si>
  <si>
    <t>024017-47-8</t>
  </si>
  <si>
    <t>000052-68-6</t>
  </si>
  <si>
    <t>055335-06-3</t>
  </si>
  <si>
    <t>041814-78-2</t>
  </si>
  <si>
    <t>081412-43-3</t>
  </si>
  <si>
    <t>099387-89-0</t>
  </si>
  <si>
    <t>083657-22-1</t>
  </si>
  <si>
    <t>002275-23-2</t>
  </si>
  <si>
    <t>000081-81-2</t>
  </si>
  <si>
    <t>002655-14-3</t>
  </si>
  <si>
    <t>001314-84-7</t>
  </si>
  <si>
    <t>000137-30-4</t>
  </si>
  <si>
    <t xml:space="preserve">000083-79-4 </t>
  </si>
  <si>
    <t>HG'-01</t>
  </si>
  <si>
    <t>HG'-02</t>
  </si>
  <si>
    <t>HG'-03</t>
  </si>
  <si>
    <t>Extent of impact
mean</t>
  </si>
  <si>
    <t>Extent of impact
 uncertainty</t>
  </si>
  <si>
    <t>Extent of impact, mean</t>
  </si>
  <si>
    <t>Extent of impact, uncertainty</t>
  </si>
  <si>
    <t>Extent of impact,
mean</t>
  </si>
  <si>
    <t>Extent of impact,
 uncertainty</t>
  </si>
  <si>
    <t>Damage cost, EUR</t>
  </si>
  <si>
    <t>© Copyright the Swedish Life Cycle Center, Aug 2015</t>
  </si>
  <si>
    <t>Bengt Steen, Environmental System Analysis and Swedish Life Cycle Center, Chalmers University of Technology</t>
  </si>
  <si>
    <t>bengt.steen@chalmers.se</t>
  </si>
  <si>
    <t>Worksheets 7 to 13, where characterisation factors and damage costs for different classes of elementary flows are calculated.</t>
  </si>
  <si>
    <r>
      <t>CCl</t>
    </r>
    <r>
      <rPr>
        <vertAlign val="subscript"/>
        <sz val="10"/>
        <rFont val="Arial"/>
        <family val="2"/>
      </rPr>
      <t>4</t>
    </r>
  </si>
  <si>
    <t>Swedish Life Cycle Center Report 2015:4a</t>
  </si>
  <si>
    <t>Damage cost, €/kg</t>
  </si>
  <si>
    <t>A new impact assessment version for the EPS system - EPS 2015d - Including  climate impacts from secondary particles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</si>
</sst>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0"/>
    <numFmt numFmtId="165" formatCode="000000\-00\-0"/>
    <numFmt numFmtId="166" formatCode="0.000000"/>
    <numFmt numFmtId="167" formatCode="0.0000"/>
    <numFmt numFmtId="168" formatCode="0.0%"/>
  </numFmts>
  <fonts count="50">
    <font>
      <sz val="10"/>
      <name val="Arial"/>
    </font>
    <font>
      <sz val="11"/>
      <color theme="1"/>
      <name val="Arial"/>
      <family val="2"/>
    </font>
    <font>
      <sz val="8"/>
      <color indexed="81"/>
      <name val="Tahoma"/>
      <family val="2"/>
    </font>
    <font>
      <b/>
      <sz val="10"/>
      <name val="Arial"/>
      <family val="2"/>
    </font>
    <font>
      <sz val="10"/>
      <name val="Arial"/>
      <family val="2"/>
    </font>
    <font>
      <sz val="10"/>
      <name val="Arial"/>
      <family val="2"/>
    </font>
    <font>
      <sz val="9"/>
      <color indexed="81"/>
      <name val="Tahoma"/>
      <family val="2"/>
    </font>
    <font>
      <vertAlign val="superscript"/>
      <sz val="10"/>
      <name val="Arial"/>
      <family val="2"/>
    </font>
    <font>
      <b/>
      <sz val="9"/>
      <color indexed="81"/>
      <name val="Tahoma"/>
      <family val="2"/>
    </font>
    <font>
      <sz val="12"/>
      <name val="Times New Roman"/>
      <family val="1"/>
    </font>
    <font>
      <sz val="10"/>
      <name val="Times New Roman"/>
      <family val="1"/>
    </font>
    <font>
      <vertAlign val="superscript"/>
      <sz val="10"/>
      <name val="Times New Roman"/>
      <family val="1"/>
    </font>
    <font>
      <vertAlign val="subscript"/>
      <sz val="10"/>
      <name val="Times New Roman"/>
      <family val="1"/>
    </font>
    <font>
      <b/>
      <sz val="12"/>
      <name val="Times New Roman"/>
      <family val="1"/>
    </font>
    <font>
      <sz val="10"/>
      <color indexed="8"/>
      <name val="Arial"/>
      <family val="2"/>
    </font>
    <font>
      <sz val="9"/>
      <color indexed="81"/>
      <name val="Albertus MT"/>
      <family val="1"/>
    </font>
    <font>
      <i/>
      <sz val="9"/>
      <color indexed="81"/>
      <name val="Tahoma"/>
      <family val="2"/>
    </font>
    <font>
      <b/>
      <i/>
      <sz val="10"/>
      <name val="Arial"/>
      <family val="2"/>
    </font>
    <font>
      <sz val="12"/>
      <name val="Arial"/>
      <family val="2"/>
    </font>
    <font>
      <b/>
      <i/>
      <sz val="12"/>
      <name val="Arial"/>
      <family val="2"/>
    </font>
    <font>
      <b/>
      <sz val="12"/>
      <name val="Arial"/>
      <family val="2"/>
    </font>
    <font>
      <sz val="10"/>
      <name val="Arial"/>
      <family val="2"/>
    </font>
    <font>
      <u/>
      <sz val="10"/>
      <color theme="10"/>
      <name val="Arial"/>
      <family val="2"/>
    </font>
    <font>
      <b/>
      <sz val="11"/>
      <color theme="1"/>
      <name val="Calibri"/>
      <family val="2"/>
      <scheme val="minor"/>
    </font>
    <font>
      <sz val="10"/>
      <color rgb="FF000000"/>
      <name val="Times New Roman"/>
      <family val="1"/>
    </font>
    <font>
      <b/>
      <i/>
      <sz val="12"/>
      <color rgb="FF00B050"/>
      <name val="Arial"/>
      <family val="2"/>
    </font>
    <font>
      <b/>
      <i/>
      <sz val="12"/>
      <color rgb="FFFF0000"/>
      <name val="Arial"/>
      <family val="2"/>
    </font>
    <font>
      <b/>
      <i/>
      <sz val="12"/>
      <color rgb="FF0070C0"/>
      <name val="Arial"/>
      <family val="2"/>
    </font>
    <font>
      <sz val="9"/>
      <name val="Helvetica"/>
      <family val="2"/>
    </font>
    <font>
      <sz val="8"/>
      <color theme="1"/>
      <name val="Calibri"/>
      <family val="2"/>
      <scheme val="minor"/>
    </font>
    <font>
      <sz val="11"/>
      <color theme="1"/>
      <name val="Calibri"/>
      <family val="2"/>
      <scheme val="minor"/>
    </font>
    <font>
      <b/>
      <sz val="10"/>
      <color theme="6" tint="-0.499984740745262"/>
      <name val="Arial"/>
      <family val="2"/>
    </font>
    <font>
      <sz val="8"/>
      <name val="Arial"/>
      <family val="2"/>
    </font>
    <font>
      <b/>
      <sz val="8"/>
      <name val="Arial"/>
      <family val="2"/>
    </font>
    <font>
      <sz val="10"/>
      <color rgb="FFFF0000"/>
      <name val="Arial"/>
      <family val="2"/>
    </font>
    <font>
      <b/>
      <sz val="8"/>
      <color indexed="81"/>
      <name val="Tahoma"/>
      <family val="2"/>
    </font>
    <font>
      <sz val="8"/>
      <color rgb="FF000000"/>
      <name val="Arial"/>
      <family val="2"/>
    </font>
    <font>
      <b/>
      <sz val="14"/>
      <name val="Arial"/>
      <family val="2"/>
    </font>
    <font>
      <sz val="10"/>
      <color theme="0" tint="-0.499984740745262"/>
      <name val="Arial"/>
      <family val="2"/>
    </font>
    <font>
      <sz val="10"/>
      <color theme="5"/>
      <name val="Arial"/>
      <family val="2"/>
    </font>
    <font>
      <sz val="9"/>
      <color theme="0" tint="-0.499984740745262"/>
      <name val="Helvetica"/>
      <family val="2"/>
    </font>
    <font>
      <sz val="10"/>
      <name val="Arial"/>
      <family val="2"/>
    </font>
    <font>
      <b/>
      <sz val="10"/>
      <color rgb="FFFF66FF"/>
      <name val="Arial"/>
      <family val="2"/>
    </font>
    <font>
      <sz val="10"/>
      <color theme="1"/>
      <name val="Arial"/>
      <family val="2"/>
    </font>
    <font>
      <b/>
      <sz val="10"/>
      <color theme="1"/>
      <name val="Arial"/>
      <family val="2"/>
    </font>
    <font>
      <sz val="11"/>
      <color rgb="FF9C6500"/>
      <name val="Arial"/>
      <family val="2"/>
    </font>
    <font>
      <sz val="18"/>
      <name val="Arial"/>
      <family val="2"/>
    </font>
    <font>
      <b/>
      <sz val="14"/>
      <color rgb="FF365F91"/>
      <name val="Cambria"/>
      <family val="1"/>
    </font>
    <font>
      <b/>
      <sz val="11"/>
      <name val="Arial"/>
      <family val="2"/>
    </font>
    <font>
      <vertAlign val="subscript"/>
      <sz val="10"/>
      <name val="Arial"/>
      <family val="2"/>
    </font>
  </fonts>
  <fills count="8">
    <fill>
      <patternFill patternType="none"/>
    </fill>
    <fill>
      <patternFill patternType="gray125"/>
    </fill>
    <fill>
      <patternFill patternType="solid">
        <fgColor rgb="FFFFFF00"/>
        <bgColor indexed="64"/>
      </patternFill>
    </fill>
    <fill>
      <patternFill patternType="solid">
        <fgColor theme="2"/>
        <bgColor indexed="64"/>
      </patternFill>
    </fill>
    <fill>
      <patternFill patternType="solid">
        <fgColor theme="0"/>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rgb="FFFFEB9C"/>
      </patternFill>
    </fill>
  </fills>
  <borders count="15">
    <border>
      <left/>
      <right/>
      <top/>
      <bottom/>
      <diagonal/>
    </border>
    <border>
      <left/>
      <right/>
      <top style="thick">
        <color rgb="FF008000"/>
      </top>
      <bottom style="medium">
        <color rgb="FF008000"/>
      </bottom>
      <diagonal/>
    </border>
    <border>
      <left/>
      <right/>
      <top/>
      <bottom style="thick">
        <color rgb="FF008000"/>
      </bottom>
      <diagonal/>
    </border>
    <border>
      <left/>
      <right style="medium">
        <color rgb="FF008000"/>
      </right>
      <top style="thick">
        <color rgb="FF008000"/>
      </top>
      <bottom style="medium">
        <color rgb="FF008000"/>
      </bottom>
      <diagonal/>
    </border>
    <border>
      <left/>
      <right style="medium">
        <color rgb="FF008000"/>
      </right>
      <top/>
      <bottom style="medium">
        <color rgb="FF008000"/>
      </bottom>
      <diagonal/>
    </border>
    <border>
      <left/>
      <right/>
      <top/>
      <bottom style="medium">
        <color rgb="FF008000"/>
      </bottom>
      <diagonal/>
    </border>
    <border>
      <left/>
      <right style="medium">
        <color rgb="FF008000"/>
      </right>
      <top/>
      <bottom style="thick">
        <color rgb="FF008000"/>
      </bottom>
      <diagonal/>
    </border>
    <border>
      <left/>
      <right/>
      <top style="thick">
        <color rgb="FF008000"/>
      </top>
      <bottom/>
      <diagonal/>
    </border>
    <border>
      <left style="medium">
        <color rgb="FF008000"/>
      </left>
      <right/>
      <top style="medium">
        <color rgb="FF008000"/>
      </top>
      <bottom style="medium">
        <color rgb="FF008000"/>
      </bottom>
      <diagonal/>
    </border>
    <border>
      <left/>
      <right style="medium">
        <color rgb="FF008000"/>
      </right>
      <top style="medium">
        <color rgb="FF008000"/>
      </top>
      <bottom style="medium">
        <color rgb="FF008000"/>
      </bottom>
      <diagonal/>
    </border>
    <border>
      <left style="medium">
        <color rgb="FF008000"/>
      </left>
      <right/>
      <top style="thick">
        <color rgb="FF008000"/>
      </top>
      <bottom style="medium">
        <color rgb="FF008000"/>
      </bottom>
      <diagonal/>
    </border>
    <border>
      <left style="thick">
        <color rgb="FF008000"/>
      </left>
      <right style="thick">
        <color rgb="FF008000"/>
      </right>
      <top style="thick">
        <color rgb="FF008000"/>
      </top>
      <bottom style="thick">
        <color rgb="FF008000"/>
      </bottom>
      <diagonal/>
    </border>
    <border>
      <left style="thick">
        <color rgb="FF008000"/>
      </left>
      <right/>
      <top style="thick">
        <color rgb="FF008000"/>
      </top>
      <bottom style="thick">
        <color rgb="FF008000"/>
      </bottom>
      <diagonal/>
    </border>
    <border>
      <left/>
      <right style="thick">
        <color rgb="FF008000"/>
      </right>
      <top style="thick">
        <color rgb="FF008000"/>
      </top>
      <bottom style="thick">
        <color rgb="FF008000"/>
      </bottom>
      <diagonal/>
    </border>
    <border>
      <left/>
      <right/>
      <top style="thick">
        <color rgb="FF008000"/>
      </top>
      <bottom style="thick">
        <color rgb="FF008000"/>
      </bottom>
      <diagonal/>
    </border>
  </borders>
  <cellStyleXfs count="10">
    <xf numFmtId="0" fontId="0" fillId="0" borderId="0"/>
    <xf numFmtId="0" fontId="22" fillId="0" borderId="0" applyNumberFormat="0" applyFill="0" applyBorder="0" applyAlignment="0" applyProtection="0"/>
    <xf numFmtId="0" fontId="14" fillId="0" borderId="0"/>
    <xf numFmtId="0" fontId="29" fillId="0" borderId="0"/>
    <xf numFmtId="0" fontId="30" fillId="0" borderId="0"/>
    <xf numFmtId="0" fontId="30" fillId="0" borderId="0"/>
    <xf numFmtId="0" fontId="4" fillId="0" borderId="0"/>
    <xf numFmtId="9" fontId="41" fillId="0" borderId="0" applyFont="0" applyFill="0" applyBorder="0" applyAlignment="0" applyProtection="0"/>
    <xf numFmtId="0" fontId="45" fillId="7" borderId="0" applyNumberFormat="0" applyBorder="0" applyAlignment="0" applyProtection="0"/>
    <xf numFmtId="0" fontId="1" fillId="0" borderId="0"/>
  </cellStyleXfs>
  <cellXfs count="221">
    <xf numFmtId="0" fontId="0" fillId="0" borderId="0" xfId="0"/>
    <xf numFmtId="11" fontId="0" fillId="0" borderId="0" xfId="0" applyNumberFormat="1"/>
    <xf numFmtId="0" fontId="3" fillId="0" borderId="0" xfId="0" applyFont="1"/>
    <xf numFmtId="2" fontId="0" fillId="0" borderId="0" xfId="0" applyNumberFormat="1"/>
    <xf numFmtId="11" fontId="0" fillId="0" borderId="0" xfId="0" applyNumberFormat="1" applyFill="1"/>
    <xf numFmtId="0" fontId="5" fillId="0" borderId="0" xfId="0" applyFont="1"/>
    <xf numFmtId="0" fontId="0" fillId="0" borderId="0" xfId="0" applyAlignment="1">
      <alignment wrapText="1"/>
    </xf>
    <xf numFmtId="0" fontId="5" fillId="0" borderId="0" xfId="0" applyFont="1" applyAlignment="1">
      <alignment wrapText="1"/>
    </xf>
    <xf numFmtId="0" fontId="0" fillId="0" borderId="0" xfId="0" applyFill="1"/>
    <xf numFmtId="0" fontId="3" fillId="0" borderId="0" xfId="0" applyFont="1" applyAlignment="1">
      <alignment wrapText="1"/>
    </xf>
    <xf numFmtId="0" fontId="9" fillId="0" borderId="0" xfId="0" applyFont="1"/>
    <xf numFmtId="0" fontId="10" fillId="0" borderId="1" xfId="0" applyFont="1" applyBorder="1" applyAlignment="1">
      <alignment horizontal="right" vertical="center" wrapText="1"/>
    </xf>
    <xf numFmtId="0" fontId="10" fillId="0" borderId="1" xfId="0" applyFont="1" applyBorder="1" applyAlignment="1">
      <alignment horizontal="center" vertical="center" wrapText="1"/>
    </xf>
    <xf numFmtId="0" fontId="10" fillId="0" borderId="0" xfId="0" applyFont="1" applyAlignment="1">
      <alignment vertical="center" wrapText="1"/>
    </xf>
    <xf numFmtId="0" fontId="10" fillId="0" borderId="0" xfId="0" applyFont="1" applyAlignment="1">
      <alignment horizontal="center" vertical="center" wrapText="1"/>
    </xf>
    <xf numFmtId="0" fontId="24" fillId="0" borderId="0" xfId="0" applyFont="1" applyAlignment="1">
      <alignment horizontal="center" vertical="center" wrapText="1"/>
    </xf>
    <xf numFmtId="0" fontId="10" fillId="0" borderId="2" xfId="0" applyFont="1" applyBorder="1" applyAlignment="1">
      <alignment horizontal="right" vertical="center" wrapText="1"/>
    </xf>
    <xf numFmtId="0" fontId="10" fillId="0" borderId="2" xfId="0" applyFont="1" applyBorder="1" applyAlignment="1">
      <alignment horizontal="center" vertical="center" wrapText="1"/>
    </xf>
    <xf numFmtId="0" fontId="10" fillId="0" borderId="3" xfId="0" applyFont="1" applyBorder="1" applyAlignment="1">
      <alignment horizontal="right" vertical="center" wrapText="1"/>
    </xf>
    <xf numFmtId="0" fontId="10" fillId="0" borderId="4" xfId="0" applyFont="1" applyBorder="1" applyAlignment="1">
      <alignment horizontal="center" vertical="center" wrapText="1"/>
    </xf>
    <xf numFmtId="0" fontId="10" fillId="0" borderId="5" xfId="0" applyFont="1" applyBorder="1" applyAlignment="1">
      <alignment vertical="center" wrapText="1"/>
    </xf>
    <xf numFmtId="0" fontId="10" fillId="0" borderId="5" xfId="0" applyFont="1" applyBorder="1" applyAlignment="1">
      <alignment horizontal="center" vertical="center" wrapText="1"/>
    </xf>
    <xf numFmtId="0" fontId="10" fillId="0" borderId="6" xfId="0" applyFont="1" applyBorder="1" applyAlignment="1">
      <alignment horizontal="right" vertical="center" wrapText="1"/>
    </xf>
    <xf numFmtId="0" fontId="10" fillId="0" borderId="6" xfId="0" applyFont="1" applyBorder="1" applyAlignment="1">
      <alignment vertical="center" wrapText="1"/>
    </xf>
    <xf numFmtId="0" fontId="10" fillId="0" borderId="6" xfId="0" applyFont="1" applyBorder="1" applyAlignment="1">
      <alignment horizontal="center" vertical="center" wrapText="1"/>
    </xf>
    <xf numFmtId="0" fontId="10" fillId="0" borderId="0" xfId="0" applyFont="1" applyAlignment="1">
      <alignment horizontal="right" vertical="center" wrapText="1"/>
    </xf>
    <xf numFmtId="0" fontId="24" fillId="0" borderId="0" xfId="0" applyFont="1" applyAlignment="1">
      <alignment horizontal="right" vertical="center" wrapText="1"/>
    </xf>
    <xf numFmtId="0" fontId="10" fillId="0" borderId="2" xfId="0" applyFont="1" applyBorder="1" applyAlignment="1">
      <alignment vertical="center" wrapText="1"/>
    </xf>
    <xf numFmtId="11" fontId="10" fillId="0" borderId="0" xfId="0" applyNumberFormat="1" applyFont="1" applyAlignment="1">
      <alignment horizontal="center" vertical="center" wrapText="1"/>
    </xf>
    <xf numFmtId="11" fontId="24" fillId="0" borderId="0" xfId="0" applyNumberFormat="1" applyFont="1" applyAlignment="1">
      <alignment horizontal="right" vertical="center" wrapText="1"/>
    </xf>
    <xf numFmtId="11" fontId="10" fillId="0" borderId="0" xfId="0" applyNumberFormat="1" applyFont="1" applyAlignment="1">
      <alignment horizontal="right" vertical="center" wrapText="1"/>
    </xf>
    <xf numFmtId="11" fontId="24" fillId="0" borderId="2" xfId="0" applyNumberFormat="1" applyFont="1" applyBorder="1" applyAlignment="1">
      <alignment horizontal="right" vertical="center" wrapText="1"/>
    </xf>
    <xf numFmtId="11" fontId="10" fillId="0" borderId="2" xfId="0" applyNumberFormat="1" applyFont="1" applyBorder="1" applyAlignment="1">
      <alignment horizontal="center" vertical="center" wrapText="1"/>
    </xf>
    <xf numFmtId="11" fontId="24" fillId="0" borderId="0" xfId="0" applyNumberFormat="1" applyFont="1" applyAlignment="1">
      <alignment horizontal="center" vertical="center" wrapText="1"/>
    </xf>
    <xf numFmtId="11" fontId="24" fillId="0" borderId="2" xfId="0" applyNumberFormat="1" applyFont="1" applyBorder="1" applyAlignment="1">
      <alignment horizontal="center" vertical="center" wrapText="1"/>
    </xf>
    <xf numFmtId="11" fontId="24" fillId="0" borderId="0" xfId="0" applyNumberFormat="1" applyFont="1" applyBorder="1" applyAlignment="1">
      <alignment horizontal="right" vertical="center" wrapText="1"/>
    </xf>
    <xf numFmtId="0" fontId="10" fillId="0" borderId="1" xfId="0" applyFont="1" applyBorder="1" applyAlignment="1">
      <alignment vertical="center" wrapText="1"/>
    </xf>
    <xf numFmtId="0" fontId="10" fillId="0" borderId="7" xfId="0" applyFont="1" applyBorder="1" applyAlignment="1">
      <alignment vertical="center" wrapText="1"/>
    </xf>
    <xf numFmtId="0" fontId="13" fillId="0" borderId="0" xfId="0" applyFont="1"/>
    <xf numFmtId="11" fontId="10" fillId="0" borderId="0" xfId="0" applyNumberFormat="1" applyFont="1" applyBorder="1" applyAlignment="1">
      <alignment horizontal="center" vertical="center" wrapText="1"/>
    </xf>
    <xf numFmtId="164" fontId="0" fillId="0" borderId="0" xfId="0" applyNumberFormat="1"/>
    <xf numFmtId="1" fontId="0" fillId="0" borderId="0" xfId="0" applyNumberFormat="1"/>
    <xf numFmtId="11" fontId="0" fillId="2" borderId="0" xfId="0" applyNumberFormat="1" applyFill="1" applyProtection="1"/>
    <xf numFmtId="11" fontId="0" fillId="2" borderId="0" xfId="0" applyNumberFormat="1" applyFill="1"/>
    <xf numFmtId="0" fontId="17" fillId="0" borderId="0" xfId="0" applyFont="1"/>
    <xf numFmtId="0" fontId="4" fillId="0" borderId="0" xfId="0" applyFont="1"/>
    <xf numFmtId="0" fontId="4" fillId="0" borderId="0" xfId="0" applyFont="1" applyAlignment="1">
      <alignment wrapText="1"/>
    </xf>
    <xf numFmtId="0" fontId="4" fillId="0" borderId="0" xfId="0" applyFont="1" applyAlignment="1">
      <alignment vertical="center" wrapText="1"/>
    </xf>
    <xf numFmtId="0" fontId="4" fillId="0" borderId="0" xfId="0" applyFont="1" applyFill="1"/>
    <xf numFmtId="0" fontId="4" fillId="3" borderId="0" xfId="0" applyFont="1" applyFill="1"/>
    <xf numFmtId="0" fontId="18" fillId="0" borderId="0" xfId="0" applyFont="1"/>
    <xf numFmtId="0" fontId="23" fillId="0" borderId="0" xfId="0" applyFont="1"/>
    <xf numFmtId="14" fontId="0" fillId="0" borderId="0" xfId="0" applyNumberFormat="1"/>
    <xf numFmtId="0" fontId="4" fillId="0" borderId="0" xfId="0" applyFont="1" applyFill="1" applyBorder="1"/>
    <xf numFmtId="11" fontId="24" fillId="0" borderId="0" xfId="0" applyNumberFormat="1" applyFont="1" applyFill="1" applyAlignment="1">
      <alignment horizontal="center" vertical="center" wrapText="1"/>
    </xf>
    <xf numFmtId="3" fontId="0" fillId="0" borderId="0" xfId="0" applyNumberFormat="1"/>
    <xf numFmtId="0" fontId="0" fillId="0" borderId="0" xfId="0" applyAlignment="1">
      <alignment horizontal="center"/>
    </xf>
    <xf numFmtId="0" fontId="25" fillId="0" borderId="0" xfId="0" applyFont="1"/>
    <xf numFmtId="0" fontId="26" fillId="0" borderId="0" xfId="0" applyFont="1"/>
    <xf numFmtId="0" fontId="27" fillId="0" borderId="0" xfId="0" applyFont="1"/>
    <xf numFmtId="16" fontId="4" fillId="0" borderId="0" xfId="0" applyNumberFormat="1" applyFont="1"/>
    <xf numFmtId="0" fontId="0" fillId="0" borderId="0" xfId="0" applyAlignment="1" applyProtection="1">
      <alignment wrapText="1"/>
      <protection locked="0"/>
    </xf>
    <xf numFmtId="0" fontId="0" fillId="0" borderId="0" xfId="0" applyProtection="1">
      <protection locked="0"/>
    </xf>
    <xf numFmtId="11" fontId="0" fillId="0" borderId="0" xfId="0" applyNumberFormat="1" applyProtection="1">
      <protection locked="0"/>
    </xf>
    <xf numFmtId="11" fontId="0" fillId="2" borderId="0" xfId="0" applyNumberFormat="1" applyFill="1" applyProtection="1">
      <protection locked="0"/>
    </xf>
    <xf numFmtId="11" fontId="0" fillId="0" borderId="0" xfId="0" applyNumberFormat="1" applyFill="1" applyProtection="1">
      <protection locked="0"/>
    </xf>
    <xf numFmtId="0" fontId="22" fillId="0" borderId="0" xfId="1" applyProtection="1">
      <protection locked="0"/>
    </xf>
    <xf numFmtId="0" fontId="0" fillId="2" borderId="0" xfId="0" applyFill="1" applyProtection="1"/>
    <xf numFmtId="164" fontId="0" fillId="2" borderId="0" xfId="0" applyNumberFormat="1" applyFill="1"/>
    <xf numFmtId="0" fontId="0" fillId="2" borderId="0" xfId="0" applyFill="1"/>
    <xf numFmtId="11" fontId="0" fillId="2" borderId="0" xfId="0" applyNumberFormat="1" applyFill="1"/>
    <xf numFmtId="11" fontId="0" fillId="0" borderId="0" xfId="0" applyNumberFormat="1" applyFill="1" applyProtection="1"/>
    <xf numFmtId="0" fontId="21" fillId="0" borderId="0" xfId="0" applyFont="1"/>
    <xf numFmtId="0" fontId="21" fillId="0" borderId="0" xfId="0" applyFont="1" applyProtection="1">
      <protection locked="0"/>
    </xf>
    <xf numFmtId="0" fontId="21" fillId="0" borderId="0" xfId="0" applyFont="1" applyAlignment="1" applyProtection="1">
      <alignment wrapText="1"/>
      <protection locked="0"/>
    </xf>
    <xf numFmtId="0" fontId="0" fillId="0" borderId="0" xfId="0" applyFont="1" applyAlignment="1">
      <alignment wrapText="1"/>
    </xf>
    <xf numFmtId="0" fontId="21" fillId="0" borderId="0" xfId="0" applyFont="1" applyAlignment="1">
      <alignment wrapText="1"/>
    </xf>
    <xf numFmtId="0" fontId="0" fillId="0" borderId="0" xfId="0" applyNumberFormat="1"/>
    <xf numFmtId="14" fontId="4" fillId="0" borderId="0" xfId="0" applyNumberFormat="1" applyFont="1"/>
    <xf numFmtId="0" fontId="4" fillId="0" borderId="0" xfId="0" applyNumberFormat="1" applyFont="1"/>
    <xf numFmtId="49" fontId="0" fillId="0" borderId="0" xfId="0" applyNumberFormat="1"/>
    <xf numFmtId="0" fontId="4" fillId="0" borderId="0" xfId="0" applyNumberFormat="1" applyFont="1" applyAlignment="1">
      <alignment wrapText="1"/>
    </xf>
    <xf numFmtId="0" fontId="5" fillId="0" borderId="0" xfId="0" applyNumberFormat="1" applyFont="1" applyAlignment="1">
      <alignment wrapText="1"/>
    </xf>
    <xf numFmtId="0" fontId="0" fillId="2" borderId="0" xfId="0" applyNumberFormat="1" applyFill="1"/>
    <xf numFmtId="0" fontId="23" fillId="0" borderId="0" xfId="0" applyFont="1" applyFill="1"/>
    <xf numFmtId="166" fontId="0" fillId="0" borderId="0" xfId="0" applyNumberFormat="1"/>
    <xf numFmtId="166" fontId="4" fillId="0" borderId="0" xfId="0" applyNumberFormat="1" applyFont="1"/>
    <xf numFmtId="0" fontId="3" fillId="0" borderId="0" xfId="0" applyFont="1" applyFill="1"/>
    <xf numFmtId="0" fontId="34" fillId="0" borderId="0" xfId="0" applyFont="1"/>
    <xf numFmtId="166" fontId="34" fillId="0" borderId="0" xfId="0" applyNumberFormat="1" applyFont="1"/>
    <xf numFmtId="0" fontId="4" fillId="2" borderId="0" xfId="0" applyFont="1" applyFill="1"/>
    <xf numFmtId="0" fontId="4" fillId="0" borderId="0" xfId="0" applyFont="1" applyAlignment="1" applyProtection="1">
      <alignment wrapText="1"/>
      <protection locked="0"/>
    </xf>
    <xf numFmtId="0" fontId="32" fillId="4" borderId="0" xfId="0" applyFont="1" applyFill="1"/>
    <xf numFmtId="0" fontId="33" fillId="4" borderId="0" xfId="0" applyFont="1" applyFill="1"/>
    <xf numFmtId="0" fontId="32" fillId="4" borderId="7" xfId="0" applyFont="1" applyFill="1" applyBorder="1" applyAlignment="1">
      <alignment horizontal="left" vertical="center" wrapText="1"/>
    </xf>
    <xf numFmtId="0" fontId="33" fillId="4" borderId="0" xfId="0" applyFont="1" applyFill="1" applyBorder="1" applyAlignment="1">
      <alignment horizontal="justify" vertical="center" wrapText="1"/>
    </xf>
    <xf numFmtId="0" fontId="32" fillId="4" borderId="0" xfId="0" applyFont="1" applyFill="1" applyBorder="1" applyAlignment="1">
      <alignment horizontal="center" vertical="center" wrapText="1"/>
    </xf>
    <xf numFmtId="0" fontId="32" fillId="4" borderId="0" xfId="0" applyFont="1" applyFill="1" applyAlignment="1">
      <alignment horizontal="justify" vertical="center" wrapText="1"/>
    </xf>
    <xf numFmtId="0" fontId="32" fillId="4" borderId="0" xfId="0" applyFont="1" applyFill="1" applyAlignment="1">
      <alignment horizontal="center" vertical="center" wrapText="1"/>
    </xf>
    <xf numFmtId="0" fontId="36" fillId="4" borderId="0" xfId="0" applyFont="1" applyFill="1" applyAlignment="1">
      <alignment horizontal="center" vertical="center" wrapText="1"/>
    </xf>
    <xf numFmtId="0" fontId="36" fillId="4" borderId="0" xfId="0" applyFont="1" applyFill="1" applyAlignment="1">
      <alignment horizontal="right" vertical="center" wrapText="1"/>
    </xf>
    <xf numFmtId="164" fontId="36" fillId="4" borderId="0" xfId="0" applyNumberFormat="1" applyFont="1" applyFill="1" applyAlignment="1">
      <alignment horizontal="center" vertical="center" wrapText="1"/>
    </xf>
    <xf numFmtId="11" fontId="36" fillId="4" borderId="0" xfId="0" applyNumberFormat="1" applyFont="1" applyFill="1" applyAlignment="1">
      <alignment horizontal="center" vertical="center" wrapText="1"/>
    </xf>
    <xf numFmtId="0" fontId="33" fillId="4" borderId="0" xfId="0" applyFont="1" applyFill="1" applyAlignment="1">
      <alignment horizontal="justify" vertical="center" wrapText="1"/>
    </xf>
    <xf numFmtId="0" fontId="33" fillId="4" borderId="12" xfId="0" applyFont="1" applyFill="1" applyBorder="1" applyAlignment="1">
      <alignment horizontal="center" vertical="center" wrapText="1"/>
    </xf>
    <xf numFmtId="167" fontId="33" fillId="5" borderId="11" xfId="0" applyNumberFormat="1" applyFont="1" applyFill="1" applyBorder="1" applyAlignment="1">
      <alignment horizontal="center" vertical="center" wrapText="1"/>
    </xf>
    <xf numFmtId="0" fontId="32" fillId="4" borderId="12" xfId="0" applyFont="1" applyFill="1" applyBorder="1" applyAlignment="1">
      <alignment horizontal="left" vertical="center" wrapText="1"/>
    </xf>
    <xf numFmtId="0" fontId="32" fillId="4" borderId="14" xfId="0" applyFont="1" applyFill="1" applyBorder="1" applyAlignment="1">
      <alignment horizontal="center" vertical="center" wrapText="1"/>
    </xf>
    <xf numFmtId="0" fontId="32" fillId="4" borderId="13" xfId="0" applyFont="1" applyFill="1" applyBorder="1" applyAlignment="1">
      <alignment horizontal="center" vertical="center" wrapText="1"/>
    </xf>
    <xf numFmtId="0" fontId="33" fillId="4" borderId="0" xfId="0" applyFont="1" applyFill="1" applyBorder="1" applyAlignment="1">
      <alignment horizontal="left" vertical="center" wrapText="1"/>
    </xf>
    <xf numFmtId="0" fontId="32" fillId="4" borderId="0" xfId="0" applyFont="1" applyFill="1" applyBorder="1" applyAlignment="1">
      <alignment horizontal="justify" vertical="center" wrapText="1"/>
    </xf>
    <xf numFmtId="0" fontId="32" fillId="4" borderId="0" xfId="0" applyFont="1" applyFill="1" applyAlignment="1">
      <alignment vertical="center"/>
    </xf>
    <xf numFmtId="0" fontId="32" fillId="4" borderId="2" xfId="0" applyFont="1" applyFill="1" applyBorder="1" applyAlignment="1">
      <alignment horizontal="left" vertical="center" wrapText="1"/>
    </xf>
    <xf numFmtId="0" fontId="32" fillId="4" borderId="2" xfId="0" applyFont="1" applyFill="1" applyBorder="1" applyAlignment="1">
      <alignment horizontal="center" vertical="center" wrapText="1"/>
    </xf>
    <xf numFmtId="0" fontId="32" fillId="4" borderId="12" xfId="0" applyFont="1" applyFill="1" applyBorder="1" applyAlignment="1">
      <alignment horizontal="justify" vertical="center" wrapText="1"/>
    </xf>
    <xf numFmtId="167" fontId="32" fillId="4" borderId="14" xfId="0" applyNumberFormat="1" applyFont="1" applyFill="1" applyBorder="1" applyAlignment="1">
      <alignment horizontal="center" vertical="center" wrapText="1"/>
    </xf>
    <xf numFmtId="0" fontId="32" fillId="4" borderId="0" xfId="0" applyFont="1" applyFill="1" applyBorder="1"/>
    <xf numFmtId="0" fontId="36" fillId="4" borderId="2" xfId="0" applyFont="1" applyFill="1" applyBorder="1" applyAlignment="1">
      <alignment horizontal="center" vertical="center" wrapText="1"/>
    </xf>
    <xf numFmtId="0" fontId="32" fillId="4" borderId="0" xfId="0" applyFont="1" applyFill="1" applyAlignment="1">
      <alignment horizontal="center"/>
    </xf>
    <xf numFmtId="0" fontId="32" fillId="4" borderId="0" xfId="0" applyFont="1" applyFill="1" applyBorder="1" applyAlignment="1">
      <alignment horizontal="center"/>
    </xf>
    <xf numFmtId="0" fontId="20" fillId="5" borderId="11" xfId="0" applyFont="1" applyFill="1" applyBorder="1"/>
    <xf numFmtId="0" fontId="20" fillId="5" borderId="11" xfId="0" applyFont="1" applyFill="1" applyBorder="1" applyAlignment="1">
      <alignment horizontal="justify" vertical="center" wrapText="1"/>
    </xf>
    <xf numFmtId="0" fontId="36" fillId="4" borderId="0" xfId="0" applyNumberFormat="1" applyFont="1" applyFill="1" applyAlignment="1">
      <alignment horizontal="center" vertical="center" wrapText="1"/>
    </xf>
    <xf numFmtId="0" fontId="32" fillId="4" borderId="0" xfId="0" applyNumberFormat="1" applyFont="1" applyFill="1" applyAlignment="1">
      <alignment horizontal="center" vertical="center" wrapText="1"/>
    </xf>
    <xf numFmtId="0" fontId="4" fillId="0" borderId="12" xfId="0" applyFont="1" applyBorder="1"/>
    <xf numFmtId="0" fontId="4" fillId="0" borderId="14" xfId="0" applyFont="1" applyBorder="1"/>
    <xf numFmtId="0" fontId="4" fillId="0" borderId="13" xfId="0" applyFont="1" applyBorder="1" applyAlignment="1">
      <alignment horizontal="right"/>
    </xf>
    <xf numFmtId="0" fontId="5" fillId="0" borderId="11" xfId="0" applyFont="1" applyBorder="1"/>
    <xf numFmtId="11" fontId="4" fillId="0" borderId="0" xfId="0" applyNumberFormat="1" applyFont="1"/>
    <xf numFmtId="11" fontId="4" fillId="2" borderId="0" xfId="0" applyNumberFormat="1" applyFont="1" applyFill="1"/>
    <xf numFmtId="0" fontId="3" fillId="0" borderId="0" xfId="0" applyNumberFormat="1" applyFont="1" applyFill="1"/>
    <xf numFmtId="0" fontId="4" fillId="2" borderId="0" xfId="0" applyNumberFormat="1" applyFont="1" applyFill="1"/>
    <xf numFmtId="0" fontId="3" fillId="5" borderId="0" xfId="0" applyFont="1" applyFill="1"/>
    <xf numFmtId="0" fontId="39" fillId="0" borderId="0" xfId="0" applyFont="1"/>
    <xf numFmtId="165" fontId="28" fillId="0" borderId="0" xfId="0" applyNumberFormat="1" applyFont="1" applyFill="1" applyBorder="1" applyAlignment="1">
      <alignment horizontal="left" vertical="center"/>
    </xf>
    <xf numFmtId="0" fontId="38" fillId="0" borderId="0" xfId="0" applyFont="1" applyFill="1" applyAlignment="1">
      <alignment wrapText="1"/>
    </xf>
    <xf numFmtId="165" fontId="40" fillId="0" borderId="0" xfId="0" applyNumberFormat="1" applyFont="1" applyFill="1" applyBorder="1" applyAlignment="1">
      <alignment horizontal="left" vertical="center"/>
    </xf>
    <xf numFmtId="0" fontId="38" fillId="0" borderId="0" xfId="0" applyFont="1" applyFill="1"/>
    <xf numFmtId="49" fontId="4" fillId="0" borderId="0" xfId="0" applyNumberFormat="1" applyFont="1"/>
    <xf numFmtId="166" fontId="3" fillId="0" borderId="0" xfId="0" applyNumberFormat="1" applyFont="1" applyFill="1" applyAlignment="1">
      <alignment horizontal="center"/>
    </xf>
    <xf numFmtId="0" fontId="3" fillId="0" borderId="0" xfId="0" applyNumberFormat="1" applyFont="1" applyFill="1" applyAlignment="1">
      <alignment horizontal="center"/>
    </xf>
    <xf numFmtId="11" fontId="34" fillId="0" borderId="0" xfId="0" applyNumberFormat="1" applyFont="1"/>
    <xf numFmtId="11" fontId="34" fillId="2" borderId="0" xfId="0" applyNumberFormat="1" applyFont="1" applyFill="1"/>
    <xf numFmtId="0" fontId="34" fillId="0" borderId="0" xfId="0" applyFont="1" applyAlignment="1">
      <alignment wrapText="1"/>
    </xf>
    <xf numFmtId="0" fontId="34" fillId="0" borderId="0" xfId="0" applyFont="1" applyFill="1"/>
    <xf numFmtId="0" fontId="0" fillId="6" borderId="0" xfId="0" applyFill="1"/>
    <xf numFmtId="11" fontId="0" fillId="6" borderId="0" xfId="0" applyNumberFormat="1" applyFill="1"/>
    <xf numFmtId="0" fontId="0" fillId="0" borderId="0" xfId="0" applyAlignment="1" applyProtection="1">
      <alignment vertical="top" wrapText="1"/>
      <protection locked="0"/>
    </xf>
    <xf numFmtId="0" fontId="0" fillId="0" borderId="0" xfId="0" applyAlignment="1" applyProtection="1">
      <alignment vertical="top"/>
      <protection locked="0"/>
    </xf>
    <xf numFmtId="0" fontId="21" fillId="0" borderId="0" xfId="0" applyFont="1" applyAlignment="1" applyProtection="1">
      <alignment vertical="top"/>
      <protection locked="0"/>
    </xf>
    <xf numFmtId="0" fontId="4" fillId="0" borderId="0" xfId="0" applyFont="1" applyAlignment="1" applyProtection="1">
      <alignment vertical="top" wrapText="1"/>
      <protection locked="0"/>
    </xf>
    <xf numFmtId="0" fontId="21" fillId="0" borderId="0" xfId="0" applyFont="1" applyAlignment="1" applyProtection="1">
      <alignment vertical="top" wrapText="1"/>
      <protection locked="0"/>
    </xf>
    <xf numFmtId="4" fontId="0" fillId="0" borderId="0" xfId="0" applyNumberFormat="1" applyAlignment="1" applyProtection="1">
      <alignment vertical="top" wrapText="1"/>
      <protection locked="0"/>
    </xf>
    <xf numFmtId="11" fontId="0" fillId="0" borderId="0" xfId="0" applyNumberFormat="1" applyAlignment="1" applyProtection="1">
      <alignment vertical="top"/>
      <protection locked="0"/>
    </xf>
    <xf numFmtId="11" fontId="0" fillId="2" borderId="0" xfId="0" applyNumberFormat="1" applyFill="1" applyAlignment="1" applyProtection="1">
      <alignment vertical="top"/>
      <protection locked="0"/>
    </xf>
    <xf numFmtId="4" fontId="0" fillId="2" borderId="0" xfId="0" applyNumberFormat="1" applyFill="1" applyAlignment="1" applyProtection="1">
      <alignment vertical="top"/>
      <protection locked="0"/>
    </xf>
    <xf numFmtId="4" fontId="0" fillId="0" borderId="0" xfId="0" applyNumberFormat="1" applyAlignment="1" applyProtection="1">
      <alignment vertical="top"/>
      <protection locked="0"/>
    </xf>
    <xf numFmtId="0" fontId="21" fillId="2" borderId="0" xfId="0" applyFont="1" applyFill="1" applyAlignment="1" applyProtection="1">
      <alignment vertical="top"/>
      <protection locked="0"/>
    </xf>
    <xf numFmtId="11" fontId="0" fillId="2" borderId="0" xfId="0" applyNumberFormat="1" applyFill="1" applyAlignment="1" applyProtection="1">
      <alignment vertical="top"/>
    </xf>
    <xf numFmtId="2" fontId="0" fillId="2" borderId="0" xfId="0" applyNumberFormat="1" applyFill="1" applyAlignment="1" applyProtection="1">
      <alignment vertical="top"/>
      <protection locked="0"/>
    </xf>
    <xf numFmtId="11" fontId="0" fillId="0" borderId="0" xfId="0" applyNumberFormat="1" applyAlignment="1" applyProtection="1">
      <alignment horizontal="right" vertical="top"/>
      <protection locked="0"/>
    </xf>
    <xf numFmtId="0" fontId="0" fillId="2" borderId="0" xfId="0" applyFill="1" applyAlignment="1" applyProtection="1">
      <alignment vertical="top"/>
    </xf>
    <xf numFmtId="0" fontId="0" fillId="2" borderId="0" xfId="0" applyFill="1" applyAlignment="1" applyProtection="1">
      <alignment vertical="top"/>
      <protection locked="0"/>
    </xf>
    <xf numFmtId="11" fontId="0" fillId="0" borderId="0" xfId="0" applyNumberFormat="1" applyFill="1" applyAlignment="1" applyProtection="1">
      <alignment vertical="top"/>
    </xf>
    <xf numFmtId="4" fontId="21" fillId="0" borderId="0" xfId="0" applyNumberFormat="1" applyFont="1" applyAlignment="1" applyProtection="1">
      <alignment vertical="top"/>
      <protection locked="0"/>
    </xf>
    <xf numFmtId="168" fontId="43" fillId="0" borderId="0" xfId="7" applyNumberFormat="1" applyFont="1" applyAlignment="1" applyProtection="1">
      <alignment horizontal="center" vertical="top"/>
      <protection locked="0"/>
    </xf>
    <xf numFmtId="168" fontId="43" fillId="0" borderId="0" xfId="7" applyNumberFormat="1" applyFont="1" applyFill="1" applyAlignment="1" applyProtection="1">
      <alignment horizontal="center" vertical="top"/>
      <protection locked="0"/>
    </xf>
    <xf numFmtId="11" fontId="4" fillId="2" borderId="0" xfId="0" applyNumberFormat="1" applyFont="1" applyFill="1" applyAlignment="1" applyProtection="1">
      <alignment vertical="top"/>
      <protection locked="0"/>
    </xf>
    <xf numFmtId="11" fontId="0" fillId="0" borderId="0" xfId="0" applyNumberFormat="1" applyFill="1" applyAlignment="1" applyProtection="1">
      <alignment vertical="top"/>
      <protection locked="0"/>
    </xf>
    <xf numFmtId="0" fontId="0" fillId="0" borderId="0" xfId="0" applyFill="1" applyAlignment="1" applyProtection="1">
      <alignment vertical="top"/>
      <protection locked="0"/>
    </xf>
    <xf numFmtId="0" fontId="43" fillId="0" borderId="0" xfId="7" applyNumberFormat="1" applyFont="1" applyFill="1" applyAlignment="1" applyProtection="1">
      <alignment horizontal="center" vertical="top"/>
      <protection locked="0"/>
    </xf>
    <xf numFmtId="168" fontId="44" fillId="0" borderId="0" xfId="7" applyNumberFormat="1" applyFont="1" applyFill="1" applyAlignment="1" applyProtection="1">
      <alignment horizontal="center" vertical="top"/>
      <protection locked="0"/>
    </xf>
    <xf numFmtId="0" fontId="4" fillId="0" borderId="0" xfId="0" applyFont="1" applyFill="1" applyAlignment="1" applyProtection="1">
      <alignment vertical="top"/>
      <protection locked="0"/>
    </xf>
    <xf numFmtId="0" fontId="5" fillId="0" borderId="0" xfId="0" applyFont="1" applyFill="1" applyAlignment="1" applyProtection="1">
      <alignment vertical="top"/>
      <protection locked="0"/>
    </xf>
    <xf numFmtId="2" fontId="42" fillId="0" borderId="0" xfId="0" applyNumberFormat="1" applyFont="1" applyFill="1" applyAlignment="1" applyProtection="1">
      <alignment vertical="top"/>
      <protection locked="0"/>
    </xf>
    <xf numFmtId="2" fontId="38" fillId="0" borderId="0" xfId="0" applyNumberFormat="1" applyFont="1" applyFill="1" applyAlignment="1" applyProtection="1">
      <alignment vertical="top"/>
      <protection locked="0"/>
    </xf>
    <xf numFmtId="168" fontId="38" fillId="0" borderId="0" xfId="7" applyNumberFormat="1" applyFont="1" applyFill="1" applyAlignment="1" applyProtection="1">
      <alignment horizontal="center" vertical="top"/>
      <protection locked="0"/>
    </xf>
    <xf numFmtId="2" fontId="0" fillId="0" borderId="0" xfId="0" applyNumberFormat="1" applyFill="1" applyAlignment="1" applyProtection="1">
      <alignment vertical="top"/>
      <protection locked="0"/>
    </xf>
    <xf numFmtId="0" fontId="4" fillId="0" borderId="0" xfId="0" applyFont="1" applyFill="1" applyAlignment="1">
      <alignment horizontal="center" vertical="center"/>
    </xf>
    <xf numFmtId="0" fontId="0" fillId="0" borderId="0" xfId="0" applyFill="1" applyAlignment="1">
      <alignment horizontal="center" vertical="center"/>
    </xf>
    <xf numFmtId="11" fontId="4" fillId="0" borderId="0" xfId="0" applyNumberFormat="1" applyFont="1" applyFill="1"/>
    <xf numFmtId="0" fontId="31" fillId="0" borderId="0" xfId="0" applyFont="1" applyFill="1"/>
    <xf numFmtId="0" fontId="46" fillId="0" borderId="0" xfId="0" applyFont="1"/>
    <xf numFmtId="0" fontId="0" fillId="0" borderId="0" xfId="0" applyFont="1"/>
    <xf numFmtId="0" fontId="47" fillId="0" borderId="0" xfId="0" applyFont="1" applyAlignment="1">
      <alignment vertical="center"/>
    </xf>
    <xf numFmtId="0" fontId="10" fillId="0" borderId="0" xfId="0" applyFont="1" applyAlignment="1">
      <alignment vertical="center"/>
    </xf>
    <xf numFmtId="0" fontId="22" fillId="0" borderId="0" xfId="1"/>
    <xf numFmtId="0" fontId="48" fillId="0" borderId="0" xfId="0" applyFont="1"/>
    <xf numFmtId="0" fontId="21" fillId="0" borderId="0" xfId="0" applyFont="1" applyFill="1" applyAlignment="1" applyProtection="1">
      <alignment vertical="top"/>
      <protection locked="0"/>
    </xf>
    <xf numFmtId="4" fontId="4" fillId="2" borderId="0" xfId="0" applyNumberFormat="1" applyFont="1" applyFill="1" applyAlignment="1" applyProtection="1">
      <alignment vertical="top"/>
      <protection locked="0"/>
    </xf>
    <xf numFmtId="4" fontId="42" fillId="0" borderId="0" xfId="0" quotePrefix="1" applyNumberFormat="1" applyFont="1" applyFill="1" applyAlignment="1" applyProtection="1">
      <alignment horizontal="right" vertical="top"/>
      <protection locked="0"/>
    </xf>
    <xf numFmtId="4" fontId="38" fillId="0" borderId="0" xfId="0" quotePrefix="1" applyNumberFormat="1" applyFont="1" applyFill="1" applyAlignment="1" applyProtection="1">
      <alignment horizontal="right" vertical="top"/>
      <protection locked="0"/>
    </xf>
    <xf numFmtId="0" fontId="0" fillId="0" borderId="0" xfId="0" applyFill="1" applyProtection="1">
      <protection locked="0"/>
    </xf>
    <xf numFmtId="0" fontId="21" fillId="0" borderId="0" xfId="0" applyFont="1" applyFill="1" applyProtection="1">
      <protection locked="0"/>
    </xf>
    <xf numFmtId="0" fontId="4" fillId="0" borderId="0" xfId="0" applyFont="1" applyFill="1" applyAlignment="1" applyProtection="1">
      <alignment wrapText="1"/>
      <protection locked="0"/>
    </xf>
    <xf numFmtId="0" fontId="4" fillId="0" borderId="0" xfId="0" applyFont="1" applyProtection="1">
      <protection locked="0"/>
    </xf>
    <xf numFmtId="4" fontId="4" fillId="0" borderId="0" xfId="0" applyNumberFormat="1" applyFont="1" applyFill="1" applyAlignment="1" applyProtection="1">
      <alignment vertical="top" wrapText="1"/>
      <protection locked="0"/>
    </xf>
    <xf numFmtId="0" fontId="4" fillId="0" borderId="0" xfId="0" applyNumberFormat="1" applyFont="1" applyFill="1" applyAlignment="1">
      <alignment horizontal="center"/>
    </xf>
    <xf numFmtId="0" fontId="4" fillId="0" borderId="0" xfId="0" applyNumberFormat="1" applyFont="1" applyFill="1" applyAlignment="1">
      <alignment horizontal="center" wrapText="1"/>
    </xf>
    <xf numFmtId="0" fontId="4" fillId="0" borderId="0" xfId="0" applyNumberFormat="1" applyFont="1" applyFill="1" applyAlignment="1">
      <alignment wrapText="1"/>
    </xf>
    <xf numFmtId="0" fontId="4" fillId="0" borderId="0" xfId="0" applyNumberFormat="1" applyFont="1" applyFill="1"/>
    <xf numFmtId="166" fontId="4" fillId="0" borderId="0" xfId="0" applyNumberFormat="1" applyFont="1" applyFill="1" applyAlignment="1">
      <alignment horizontal="center"/>
    </xf>
    <xf numFmtId="0" fontId="4" fillId="0" borderId="0" xfId="0" applyFont="1" applyFill="1" applyAlignment="1">
      <alignment wrapText="1"/>
    </xf>
    <xf numFmtId="166" fontId="4" fillId="0" borderId="0" xfId="0" applyNumberFormat="1" applyFont="1" applyFill="1"/>
    <xf numFmtId="11" fontId="4" fillId="2" borderId="0" xfId="0" applyNumberFormat="1" applyFont="1" applyFill="1" applyProtection="1">
      <protection locked="0"/>
    </xf>
    <xf numFmtId="0" fontId="4" fillId="2" borderId="0" xfId="0" applyNumberFormat="1" applyFont="1" applyFill="1" applyAlignment="1">
      <alignment horizontal="center"/>
    </xf>
    <xf numFmtId="166" fontId="4" fillId="2" borderId="0" xfId="0" applyNumberFormat="1" applyFont="1" applyFill="1" applyAlignment="1">
      <alignment horizontal="center"/>
    </xf>
    <xf numFmtId="0" fontId="19" fillId="0" borderId="0" xfId="0" applyFont="1" applyAlignment="1">
      <alignment horizontal="center"/>
    </xf>
    <xf numFmtId="0" fontId="10" fillId="0" borderId="8" xfId="0" applyFont="1" applyBorder="1" applyAlignment="1">
      <alignment vertical="center" wrapText="1"/>
    </xf>
    <xf numFmtId="0" fontId="10" fillId="0" borderId="9" xfId="0" applyFont="1" applyBorder="1" applyAlignment="1">
      <alignment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7" xfId="0" applyFont="1" applyBorder="1" applyAlignment="1">
      <alignment horizontal="right" vertical="center" wrapText="1"/>
    </xf>
    <xf numFmtId="0" fontId="10" fillId="0" borderId="5" xfId="0" applyFont="1" applyBorder="1" applyAlignment="1">
      <alignment horizontal="right" vertical="center" wrapText="1"/>
    </xf>
    <xf numFmtId="0" fontId="10" fillId="0" borderId="7" xfId="0" applyFont="1" applyBorder="1" applyAlignment="1">
      <alignment vertical="center" wrapText="1"/>
    </xf>
    <xf numFmtId="0" fontId="10" fillId="0" borderId="5" xfId="0" applyFont="1" applyBorder="1" applyAlignment="1">
      <alignment vertical="center" wrapText="1"/>
    </xf>
    <xf numFmtId="0" fontId="37" fillId="0" borderId="0" xfId="0" applyFont="1" applyFill="1" applyAlignment="1">
      <alignment horizontal="center" vertical="center"/>
    </xf>
    <xf numFmtId="0" fontId="4" fillId="0" borderId="0" xfId="0" applyFont="1" applyAlignment="1">
      <alignment horizontal="center" wrapText="1"/>
    </xf>
    <xf numFmtId="0" fontId="4" fillId="0" borderId="0" xfId="0" applyFont="1" applyAlignment="1">
      <alignment horizontal="center"/>
    </xf>
  </cellXfs>
  <cellStyles count="10">
    <cellStyle name="Hyperlink" xfId="1" builtinId="8"/>
    <cellStyle name="Neutral 2" xfId="8"/>
    <cellStyle name="Normal" xfId="0" builtinId="0"/>
    <cellStyle name="Normal 19" xfId="5"/>
    <cellStyle name="Normal 2" xfId="3"/>
    <cellStyle name="Normal 2 2" xfId="6"/>
    <cellStyle name="Normal 3" xfId="4"/>
    <cellStyle name="Normal 4" xfId="9"/>
    <cellStyle name="Percent" xfId="7" builtinId="5"/>
    <cellStyle name="Standard_Tabelle1"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image" Target="../media/image3.emf"/></Relationships>
</file>

<file path=xl/drawings/_rels/drawing5.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371475</xdr:colOff>
      <xdr:row>8</xdr:row>
      <xdr:rowOff>7987</xdr:rowOff>
    </xdr:from>
    <xdr:to>
      <xdr:col>1</xdr:col>
      <xdr:colOff>438894</xdr:colOff>
      <xdr:row>11</xdr:row>
      <xdr:rowOff>110020</xdr:rowOff>
    </xdr:to>
    <xdr:sp macro="" textlink="">
      <xdr:nvSpPr>
        <xdr:cNvPr id="6" name="TextBox 5"/>
        <xdr:cNvSpPr txBox="1"/>
      </xdr:nvSpPr>
      <xdr:spPr>
        <a:xfrm>
          <a:off x="371475" y="1179562"/>
          <a:ext cx="1296144" cy="530658"/>
        </a:xfrm>
        <a:prstGeom prst="rect">
          <a:avLst/>
        </a:prstGeom>
        <a:noFill/>
        <a:ln>
          <a:solidFill>
            <a:schemeClr val="tx1"/>
          </a:solidFill>
        </a:ln>
      </xdr:spPr>
      <xdr:txBody>
        <a:bodyPr wrap="square" rtlCol="0">
          <a:spAutoFit/>
        </a:bodyPr>
        <a:lstStyle>
          <a:defPPr>
            <a:defRPr lang="sv-S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sv-SE" sz="1400"/>
            <a:t>2. Fisher-Tropsch</a:t>
          </a:r>
        </a:p>
      </xdr:txBody>
    </xdr:sp>
    <xdr:clientData/>
  </xdr:twoCellAnchor>
  <xdr:twoCellAnchor>
    <xdr:from>
      <xdr:col>0</xdr:col>
      <xdr:colOff>1019547</xdr:colOff>
      <xdr:row>6</xdr:row>
      <xdr:rowOff>65306</xdr:rowOff>
    </xdr:from>
    <xdr:to>
      <xdr:col>0</xdr:col>
      <xdr:colOff>1019547</xdr:colOff>
      <xdr:row>7</xdr:row>
      <xdr:rowOff>131812</xdr:rowOff>
    </xdr:to>
    <xdr:cxnSp macro="">
      <xdr:nvCxnSpPr>
        <xdr:cNvPr id="7" name="Straight Arrow Connector 6"/>
        <xdr:cNvCxnSpPr/>
      </xdr:nvCxnSpPr>
      <xdr:spPr>
        <a:xfrm>
          <a:off x="1019547" y="951131"/>
          <a:ext cx="0" cy="20938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1003848</xdr:colOff>
      <xdr:row>11</xdr:row>
      <xdr:rowOff>101868</xdr:rowOff>
    </xdr:from>
    <xdr:to>
      <xdr:col>0</xdr:col>
      <xdr:colOff>1003848</xdr:colOff>
      <xdr:row>13</xdr:row>
      <xdr:rowOff>63599</xdr:rowOff>
    </xdr:to>
    <xdr:cxnSp macro="">
      <xdr:nvCxnSpPr>
        <xdr:cNvPr id="8" name="Straight Arrow Connector 7"/>
        <xdr:cNvCxnSpPr/>
      </xdr:nvCxnSpPr>
      <xdr:spPr>
        <a:xfrm>
          <a:off x="1003848" y="1702068"/>
          <a:ext cx="0" cy="24748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371475</xdr:colOff>
      <xdr:row>13</xdr:row>
      <xdr:rowOff>99639</xdr:rowOff>
    </xdr:from>
    <xdr:to>
      <xdr:col>1</xdr:col>
      <xdr:colOff>438894</xdr:colOff>
      <xdr:row>15</xdr:row>
      <xdr:rowOff>96810</xdr:rowOff>
    </xdr:to>
    <xdr:sp macro="" textlink="">
      <xdr:nvSpPr>
        <xdr:cNvPr id="9" name="TextBox 8"/>
        <xdr:cNvSpPr txBox="1"/>
      </xdr:nvSpPr>
      <xdr:spPr>
        <a:xfrm>
          <a:off x="371475" y="1985589"/>
          <a:ext cx="1296144" cy="311496"/>
        </a:xfrm>
        <a:prstGeom prst="rect">
          <a:avLst/>
        </a:prstGeom>
        <a:noFill/>
        <a:ln>
          <a:solidFill>
            <a:schemeClr val="tx1"/>
          </a:solidFill>
        </a:ln>
      </xdr:spPr>
      <xdr:txBody>
        <a:bodyPr wrap="square" rtlCol="0">
          <a:spAutoFit/>
        </a:bodyPr>
        <a:lstStyle>
          <a:defPPr>
            <a:defRPr lang="sv-S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sv-SE" sz="1400"/>
            <a:t>H-(CH2)n-H</a:t>
          </a:r>
        </a:p>
      </xdr:txBody>
    </xdr:sp>
    <xdr:clientData/>
  </xdr:twoCellAnchor>
  <xdr:twoCellAnchor>
    <xdr:from>
      <xdr:col>0</xdr:col>
      <xdr:colOff>371475</xdr:colOff>
      <xdr:row>2</xdr:row>
      <xdr:rowOff>95250</xdr:rowOff>
    </xdr:from>
    <xdr:to>
      <xdr:col>1</xdr:col>
      <xdr:colOff>438894</xdr:colOff>
      <xdr:row>6</xdr:row>
      <xdr:rowOff>54408</xdr:rowOff>
    </xdr:to>
    <xdr:sp macro="" textlink="">
      <xdr:nvSpPr>
        <xdr:cNvPr id="10" name="TextBox 9"/>
        <xdr:cNvSpPr txBox="1"/>
      </xdr:nvSpPr>
      <xdr:spPr>
        <a:xfrm>
          <a:off x="371475" y="409575"/>
          <a:ext cx="1296144" cy="530658"/>
        </a:xfrm>
        <a:prstGeom prst="rect">
          <a:avLst/>
        </a:prstGeom>
        <a:noFill/>
        <a:ln>
          <a:solidFill>
            <a:schemeClr val="tx1"/>
          </a:solidFill>
        </a:ln>
      </xdr:spPr>
      <xdr:txBody>
        <a:bodyPr wrap="square" rtlCol="0">
          <a:spAutoFit/>
        </a:bodyPr>
        <a:lstStyle>
          <a:defPPr>
            <a:defRPr lang="sv-S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sv-SE" sz="1400"/>
            <a:t>1. Wood harvesting</a:t>
          </a:r>
        </a:p>
      </xdr:txBody>
    </xdr:sp>
    <xdr:clientData/>
  </xdr:twoCellAnchor>
  <xdr:twoCellAnchor>
    <xdr:from>
      <xdr:col>13</xdr:col>
      <xdr:colOff>238125</xdr:colOff>
      <xdr:row>47</xdr:row>
      <xdr:rowOff>9525</xdr:rowOff>
    </xdr:from>
    <xdr:to>
      <xdr:col>14</xdr:col>
      <xdr:colOff>238125</xdr:colOff>
      <xdr:row>48</xdr:row>
      <xdr:rowOff>47625</xdr:rowOff>
    </xdr:to>
    <xdr:sp macro="" textlink="">
      <xdr:nvSpPr>
        <xdr:cNvPr id="403884" name="Rectangle 1282"/>
        <xdr:cNvSpPr>
          <a:spLocks noChangeArrowheads="1"/>
        </xdr:cNvSpPr>
      </xdr:nvSpPr>
      <xdr:spPr bwMode="auto">
        <a:xfrm>
          <a:off x="10086975" y="9515475"/>
          <a:ext cx="609600" cy="200025"/>
        </a:xfrm>
        <a:prstGeom prst="rect">
          <a:avLst/>
        </a:prstGeom>
        <a:solidFill>
          <a:srgbClr val="FFFFFF"/>
        </a:solidFill>
        <a:ln w="0">
          <a:solidFill>
            <a:srgbClr val="FFFFFF"/>
          </a:solidFill>
          <a:miter lim="800000"/>
          <a:headEnd/>
          <a:tailEnd/>
        </a:ln>
      </xdr:spPr>
    </xdr:sp>
    <xdr:clientData/>
  </xdr:twoCellAnchor>
  <xdr:twoCellAnchor>
    <xdr:from>
      <xdr:col>11</xdr:col>
      <xdr:colOff>247650</xdr:colOff>
      <xdr:row>24</xdr:row>
      <xdr:rowOff>0</xdr:rowOff>
    </xdr:from>
    <xdr:to>
      <xdr:col>12</xdr:col>
      <xdr:colOff>247650</xdr:colOff>
      <xdr:row>25</xdr:row>
      <xdr:rowOff>133350</xdr:rowOff>
    </xdr:to>
    <xdr:sp macro="" textlink="">
      <xdr:nvSpPr>
        <xdr:cNvPr id="403885" name="Rectangle 1326"/>
        <xdr:cNvSpPr>
          <a:spLocks noChangeArrowheads="1"/>
        </xdr:cNvSpPr>
      </xdr:nvSpPr>
      <xdr:spPr bwMode="auto">
        <a:xfrm>
          <a:off x="8877300" y="4724400"/>
          <a:ext cx="609600" cy="333375"/>
        </a:xfrm>
        <a:prstGeom prst="rect">
          <a:avLst/>
        </a:prstGeom>
        <a:solidFill>
          <a:srgbClr val="FFFFFF"/>
        </a:solidFill>
        <a:ln w="0">
          <a:solidFill>
            <a:srgbClr val="000000"/>
          </a:solidFill>
          <a:miter lim="800000"/>
          <a:headEnd/>
          <a:tailEnd/>
        </a:ln>
      </xdr:spPr>
    </xdr:sp>
    <xdr:clientData/>
  </xdr:twoCellAnchor>
  <xdr:twoCellAnchor>
    <xdr:from>
      <xdr:col>11</xdr:col>
      <xdr:colOff>266700</xdr:colOff>
      <xdr:row>24</xdr:row>
      <xdr:rowOff>9524</xdr:rowOff>
    </xdr:from>
    <xdr:to>
      <xdr:col>12</xdr:col>
      <xdr:colOff>276225</xdr:colOff>
      <xdr:row>25</xdr:row>
      <xdr:rowOff>133350</xdr:rowOff>
    </xdr:to>
    <xdr:sp macro="" textlink="">
      <xdr:nvSpPr>
        <xdr:cNvPr id="17" name="Rectangle 1325"/>
        <xdr:cNvSpPr>
          <a:spLocks noChangeArrowheads="1"/>
        </xdr:cNvSpPr>
      </xdr:nvSpPr>
      <xdr:spPr bwMode="auto">
        <a:xfrm>
          <a:off x="9296400" y="3686174"/>
          <a:ext cx="619125" cy="266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ctr" anchorCtr="0"/>
        <a:lstStyle/>
        <a:p>
          <a:pPr algn="ctr" rtl="0">
            <a:defRPr sz="1000"/>
          </a:pPr>
          <a:r>
            <a:rPr lang="sv-SE" sz="900" b="0" i="0" u="none" strike="noStrike" baseline="0">
              <a:solidFill>
                <a:srgbClr val="000000"/>
              </a:solidFill>
              <a:latin typeface="Arial" panose="020B0604020202020204" pitchFamily="34" charset="0"/>
              <a:cs typeface="Arial" panose="020B0604020202020204" pitchFamily="34" charset="0"/>
            </a:rPr>
            <a:t>1.Planting</a:t>
          </a:r>
        </a:p>
      </xdr:txBody>
    </xdr:sp>
    <xdr:clientData/>
  </xdr:twoCellAnchor>
  <xdr:twoCellAnchor>
    <xdr:from>
      <xdr:col>11</xdr:col>
      <xdr:colOff>247650</xdr:colOff>
      <xdr:row>27</xdr:row>
      <xdr:rowOff>47625</xdr:rowOff>
    </xdr:from>
    <xdr:to>
      <xdr:col>12</xdr:col>
      <xdr:colOff>247650</xdr:colOff>
      <xdr:row>28</xdr:row>
      <xdr:rowOff>161925</xdr:rowOff>
    </xdr:to>
    <xdr:sp macro="" textlink="">
      <xdr:nvSpPr>
        <xdr:cNvPr id="403887" name="Rectangle 1324"/>
        <xdr:cNvSpPr>
          <a:spLocks noChangeArrowheads="1"/>
        </xdr:cNvSpPr>
      </xdr:nvSpPr>
      <xdr:spPr bwMode="auto">
        <a:xfrm>
          <a:off x="8877300" y="5372100"/>
          <a:ext cx="609600" cy="314325"/>
        </a:xfrm>
        <a:prstGeom prst="rect">
          <a:avLst/>
        </a:prstGeom>
        <a:solidFill>
          <a:srgbClr val="FFFFFF"/>
        </a:solidFill>
        <a:ln w="0">
          <a:solidFill>
            <a:srgbClr val="000000"/>
          </a:solidFill>
          <a:miter lim="800000"/>
          <a:headEnd/>
          <a:tailEnd/>
        </a:ln>
      </xdr:spPr>
    </xdr:sp>
    <xdr:clientData/>
  </xdr:twoCellAnchor>
  <xdr:twoCellAnchor>
    <xdr:from>
      <xdr:col>11</xdr:col>
      <xdr:colOff>266700</xdr:colOff>
      <xdr:row>27</xdr:row>
      <xdr:rowOff>57150</xdr:rowOff>
    </xdr:from>
    <xdr:to>
      <xdr:col>12</xdr:col>
      <xdr:colOff>266700</xdr:colOff>
      <xdr:row>28</xdr:row>
      <xdr:rowOff>123825</xdr:rowOff>
    </xdr:to>
    <xdr:sp macro="" textlink="">
      <xdr:nvSpPr>
        <xdr:cNvPr id="19" name="Rectangle 1323"/>
        <xdr:cNvSpPr>
          <a:spLocks noChangeArrowheads="1"/>
        </xdr:cNvSpPr>
      </xdr:nvSpPr>
      <xdr:spPr bwMode="auto">
        <a:xfrm>
          <a:off x="9296400" y="4162425"/>
          <a:ext cx="6096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ctr" anchorCtr="0"/>
        <a:lstStyle/>
        <a:p>
          <a:pPr algn="ctr" rtl="0">
            <a:defRPr sz="1000"/>
          </a:pPr>
          <a:r>
            <a:rPr lang="sv-SE" sz="900" b="0" i="0" u="none" strike="noStrike" baseline="0">
              <a:solidFill>
                <a:srgbClr val="000000"/>
              </a:solidFill>
              <a:latin typeface="Arial" panose="020B0604020202020204" pitchFamily="34" charset="0"/>
              <a:cs typeface="Arial" panose="020B0604020202020204" pitchFamily="34" charset="0"/>
            </a:rPr>
            <a:t>2. Growing</a:t>
          </a:r>
        </a:p>
      </xdr:txBody>
    </xdr:sp>
    <xdr:clientData/>
  </xdr:twoCellAnchor>
  <xdr:twoCellAnchor>
    <xdr:from>
      <xdr:col>11</xdr:col>
      <xdr:colOff>247650</xdr:colOff>
      <xdr:row>30</xdr:row>
      <xdr:rowOff>95250</xdr:rowOff>
    </xdr:from>
    <xdr:to>
      <xdr:col>12</xdr:col>
      <xdr:colOff>247650</xdr:colOff>
      <xdr:row>32</xdr:row>
      <xdr:rowOff>19050</xdr:rowOff>
    </xdr:to>
    <xdr:sp macro="" textlink="">
      <xdr:nvSpPr>
        <xdr:cNvPr id="403889" name="Rectangle 1322"/>
        <xdr:cNvSpPr>
          <a:spLocks noChangeArrowheads="1"/>
        </xdr:cNvSpPr>
      </xdr:nvSpPr>
      <xdr:spPr bwMode="auto">
        <a:xfrm>
          <a:off x="8877300" y="6019800"/>
          <a:ext cx="609600" cy="323850"/>
        </a:xfrm>
        <a:prstGeom prst="rect">
          <a:avLst/>
        </a:prstGeom>
        <a:solidFill>
          <a:srgbClr val="FFFFFF"/>
        </a:solidFill>
        <a:ln w="0">
          <a:solidFill>
            <a:srgbClr val="000000"/>
          </a:solidFill>
          <a:miter lim="800000"/>
          <a:headEnd/>
          <a:tailEnd/>
        </a:ln>
      </xdr:spPr>
    </xdr:sp>
    <xdr:clientData/>
  </xdr:twoCellAnchor>
  <xdr:twoCellAnchor>
    <xdr:from>
      <xdr:col>11</xdr:col>
      <xdr:colOff>266700</xdr:colOff>
      <xdr:row>30</xdr:row>
      <xdr:rowOff>123825</xdr:rowOff>
    </xdr:from>
    <xdr:to>
      <xdr:col>12</xdr:col>
      <xdr:colOff>209550</xdr:colOff>
      <xdr:row>32</xdr:row>
      <xdr:rowOff>19050</xdr:rowOff>
    </xdr:to>
    <xdr:sp macro="" textlink="">
      <xdr:nvSpPr>
        <xdr:cNvPr id="21" name="Rectangle 1321"/>
        <xdr:cNvSpPr>
          <a:spLocks noChangeArrowheads="1"/>
        </xdr:cNvSpPr>
      </xdr:nvSpPr>
      <xdr:spPr bwMode="auto">
        <a:xfrm>
          <a:off x="9296400" y="4657725"/>
          <a:ext cx="5524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a:lstStyle/>
        <a:p>
          <a:pPr algn="ctr" rtl="0">
            <a:defRPr sz="1000"/>
          </a:pPr>
          <a:r>
            <a:rPr lang="sv-SE" sz="900" b="0" i="0" u="none" strike="noStrike" baseline="0">
              <a:solidFill>
                <a:srgbClr val="000000"/>
              </a:solidFill>
              <a:latin typeface="Arial" panose="020B0604020202020204" pitchFamily="34" charset="0"/>
              <a:cs typeface="Arial" panose="020B0604020202020204" pitchFamily="34" charset="0"/>
            </a:rPr>
            <a:t>3. Cutting</a:t>
          </a:r>
        </a:p>
      </xdr:txBody>
    </xdr:sp>
    <xdr:clientData/>
  </xdr:twoCellAnchor>
  <xdr:twoCellAnchor>
    <xdr:from>
      <xdr:col>11</xdr:col>
      <xdr:colOff>542925</xdr:colOff>
      <xdr:row>25</xdr:row>
      <xdr:rowOff>123825</xdr:rowOff>
    </xdr:from>
    <xdr:to>
      <xdr:col>11</xdr:col>
      <xdr:colOff>542925</xdr:colOff>
      <xdr:row>26</xdr:row>
      <xdr:rowOff>180975</xdr:rowOff>
    </xdr:to>
    <xdr:sp macro="" textlink="">
      <xdr:nvSpPr>
        <xdr:cNvPr id="403891" name="Line 1320"/>
        <xdr:cNvSpPr>
          <a:spLocks noChangeShapeType="1"/>
        </xdr:cNvSpPr>
      </xdr:nvSpPr>
      <xdr:spPr bwMode="auto">
        <a:xfrm>
          <a:off x="9172575" y="5048250"/>
          <a:ext cx="0" cy="257175"/>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485775</xdr:colOff>
      <xdr:row>26</xdr:row>
      <xdr:rowOff>123825</xdr:rowOff>
    </xdr:from>
    <xdr:to>
      <xdr:col>11</xdr:col>
      <xdr:colOff>600075</xdr:colOff>
      <xdr:row>27</xdr:row>
      <xdr:rowOff>38100</xdr:rowOff>
    </xdr:to>
    <xdr:sp macro="" textlink="">
      <xdr:nvSpPr>
        <xdr:cNvPr id="403892" name="Freeform 1319"/>
        <xdr:cNvSpPr>
          <a:spLocks/>
        </xdr:cNvSpPr>
      </xdr:nvSpPr>
      <xdr:spPr bwMode="auto">
        <a:xfrm>
          <a:off x="9115425" y="5248275"/>
          <a:ext cx="114300" cy="114300"/>
        </a:xfrm>
        <a:custGeom>
          <a:avLst/>
          <a:gdLst>
            <a:gd name="T0" fmla="*/ 2147483647 w 180"/>
            <a:gd name="T1" fmla="*/ 0 h 179"/>
            <a:gd name="T2" fmla="*/ 2147483647 w 180"/>
            <a:gd name="T3" fmla="*/ 2147483647 h 179"/>
            <a:gd name="T4" fmla="*/ 0 w 180"/>
            <a:gd name="T5" fmla="*/ 0 h 179"/>
            <a:gd name="T6" fmla="*/ 2147483647 w 180"/>
            <a:gd name="T7" fmla="*/ 0 h 179"/>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180" h="179">
              <a:moveTo>
                <a:pt x="180" y="0"/>
              </a:moveTo>
              <a:lnTo>
                <a:pt x="90" y="179"/>
              </a:lnTo>
              <a:lnTo>
                <a:pt x="0" y="0"/>
              </a:lnTo>
              <a:lnTo>
                <a:pt x="180" y="0"/>
              </a:lnTo>
              <a:close/>
            </a:path>
          </a:pathLst>
        </a:custGeom>
        <a:solidFill>
          <a:srgbClr val="000000"/>
        </a:solidFill>
        <a:ln w="0">
          <a:solidFill>
            <a:srgbClr val="000000"/>
          </a:solidFill>
          <a:round/>
          <a:headEnd/>
          <a:tailEnd/>
        </a:ln>
      </xdr:spPr>
    </xdr:sp>
    <xdr:clientData/>
  </xdr:twoCellAnchor>
  <xdr:twoCellAnchor>
    <xdr:from>
      <xdr:col>11</xdr:col>
      <xdr:colOff>552450</xdr:colOff>
      <xdr:row>28</xdr:row>
      <xdr:rowOff>152400</xdr:rowOff>
    </xdr:from>
    <xdr:to>
      <xdr:col>11</xdr:col>
      <xdr:colOff>552450</xdr:colOff>
      <xdr:row>30</xdr:row>
      <xdr:rowOff>28575</xdr:rowOff>
    </xdr:to>
    <xdr:sp macro="" textlink="">
      <xdr:nvSpPr>
        <xdr:cNvPr id="403893" name="Line 1318"/>
        <xdr:cNvSpPr>
          <a:spLocks noChangeShapeType="1"/>
        </xdr:cNvSpPr>
      </xdr:nvSpPr>
      <xdr:spPr bwMode="auto">
        <a:xfrm>
          <a:off x="9182100" y="5676900"/>
          <a:ext cx="0" cy="276225"/>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495300</xdr:colOff>
      <xdr:row>29</xdr:row>
      <xdr:rowOff>171450</xdr:rowOff>
    </xdr:from>
    <xdr:to>
      <xdr:col>12</xdr:col>
      <xdr:colOff>0</xdr:colOff>
      <xdr:row>30</xdr:row>
      <xdr:rowOff>85725</xdr:rowOff>
    </xdr:to>
    <xdr:sp macro="" textlink="">
      <xdr:nvSpPr>
        <xdr:cNvPr id="403894" name="Freeform 1317"/>
        <xdr:cNvSpPr>
          <a:spLocks/>
        </xdr:cNvSpPr>
      </xdr:nvSpPr>
      <xdr:spPr bwMode="auto">
        <a:xfrm>
          <a:off x="9124950" y="5895975"/>
          <a:ext cx="114300" cy="114300"/>
        </a:xfrm>
        <a:custGeom>
          <a:avLst/>
          <a:gdLst>
            <a:gd name="T0" fmla="*/ 2147483647 w 180"/>
            <a:gd name="T1" fmla="*/ 0 h 180"/>
            <a:gd name="T2" fmla="*/ 2147483647 w 180"/>
            <a:gd name="T3" fmla="*/ 2147483647 h 180"/>
            <a:gd name="T4" fmla="*/ 0 w 180"/>
            <a:gd name="T5" fmla="*/ 0 h 180"/>
            <a:gd name="T6" fmla="*/ 2147483647 w 180"/>
            <a:gd name="T7" fmla="*/ 0 h 180"/>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180" h="180">
              <a:moveTo>
                <a:pt x="180" y="0"/>
              </a:moveTo>
              <a:lnTo>
                <a:pt x="90" y="180"/>
              </a:lnTo>
              <a:lnTo>
                <a:pt x="0" y="0"/>
              </a:lnTo>
              <a:lnTo>
                <a:pt x="180" y="0"/>
              </a:lnTo>
              <a:close/>
            </a:path>
          </a:pathLst>
        </a:custGeom>
        <a:solidFill>
          <a:srgbClr val="000000"/>
        </a:solidFill>
        <a:ln w="0">
          <a:solidFill>
            <a:srgbClr val="000000"/>
          </a:solidFill>
          <a:round/>
          <a:headEnd/>
          <a:tailEnd/>
        </a:ln>
      </xdr:spPr>
    </xdr:sp>
    <xdr:clientData/>
  </xdr:twoCellAnchor>
  <xdr:twoCellAnchor>
    <xdr:from>
      <xdr:col>11</xdr:col>
      <xdr:colOff>238125</xdr:colOff>
      <xdr:row>33</xdr:row>
      <xdr:rowOff>133350</xdr:rowOff>
    </xdr:from>
    <xdr:to>
      <xdr:col>12</xdr:col>
      <xdr:colOff>247650</xdr:colOff>
      <xdr:row>36</xdr:row>
      <xdr:rowOff>19050</xdr:rowOff>
    </xdr:to>
    <xdr:sp macro="" textlink="">
      <xdr:nvSpPr>
        <xdr:cNvPr id="403895" name="Rectangle 1316"/>
        <xdr:cNvSpPr>
          <a:spLocks noChangeArrowheads="1"/>
        </xdr:cNvSpPr>
      </xdr:nvSpPr>
      <xdr:spPr bwMode="auto">
        <a:xfrm>
          <a:off x="9267825" y="5095875"/>
          <a:ext cx="619125" cy="371475"/>
        </a:xfrm>
        <a:prstGeom prst="rect">
          <a:avLst/>
        </a:prstGeom>
        <a:solidFill>
          <a:srgbClr val="FFFFFF"/>
        </a:solidFill>
        <a:ln w="0">
          <a:solidFill>
            <a:srgbClr val="000000"/>
          </a:solidFill>
          <a:miter lim="800000"/>
          <a:headEnd/>
          <a:tailEnd/>
        </a:ln>
      </xdr:spPr>
    </xdr:sp>
    <xdr:clientData/>
  </xdr:twoCellAnchor>
  <xdr:twoCellAnchor>
    <xdr:from>
      <xdr:col>11</xdr:col>
      <xdr:colOff>257175</xdr:colOff>
      <xdr:row>33</xdr:row>
      <xdr:rowOff>142874</xdr:rowOff>
    </xdr:from>
    <xdr:to>
      <xdr:col>12</xdr:col>
      <xdr:colOff>257175</xdr:colOff>
      <xdr:row>36</xdr:row>
      <xdr:rowOff>9524</xdr:rowOff>
    </xdr:to>
    <xdr:sp macro="" textlink="">
      <xdr:nvSpPr>
        <xdr:cNvPr id="27" name="Rectangle 1315"/>
        <xdr:cNvSpPr>
          <a:spLocks noChangeArrowheads="1"/>
        </xdr:cNvSpPr>
      </xdr:nvSpPr>
      <xdr:spPr bwMode="auto">
        <a:xfrm>
          <a:off x="9286875" y="5105399"/>
          <a:ext cx="6096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ctr" anchorCtr="0"/>
        <a:lstStyle/>
        <a:p>
          <a:pPr algn="ctr" rtl="0">
            <a:defRPr sz="1000"/>
          </a:pPr>
          <a:r>
            <a:rPr lang="sv-SE" sz="900" b="0" i="0" u="none" strike="noStrike" baseline="0">
              <a:solidFill>
                <a:srgbClr val="000000"/>
              </a:solidFill>
              <a:latin typeface="Arial" panose="020B0604020202020204" pitchFamily="34" charset="0"/>
              <a:cs typeface="Arial" panose="020B0604020202020204" pitchFamily="34" charset="0"/>
            </a:rPr>
            <a:t>4. Flash pyrolysis</a:t>
          </a:r>
        </a:p>
      </xdr:txBody>
    </xdr:sp>
    <xdr:clientData/>
  </xdr:twoCellAnchor>
  <xdr:twoCellAnchor>
    <xdr:from>
      <xdr:col>11</xdr:col>
      <xdr:colOff>561975</xdr:colOff>
      <xdr:row>32</xdr:row>
      <xdr:rowOff>9525</xdr:rowOff>
    </xdr:from>
    <xdr:to>
      <xdr:col>11</xdr:col>
      <xdr:colOff>561975</xdr:colOff>
      <xdr:row>33</xdr:row>
      <xdr:rowOff>76200</xdr:rowOff>
    </xdr:to>
    <xdr:sp macro="" textlink="">
      <xdr:nvSpPr>
        <xdr:cNvPr id="403897" name="Line 1314"/>
        <xdr:cNvSpPr>
          <a:spLocks noChangeShapeType="1"/>
        </xdr:cNvSpPr>
      </xdr:nvSpPr>
      <xdr:spPr bwMode="auto">
        <a:xfrm>
          <a:off x="9191625" y="6334125"/>
          <a:ext cx="0" cy="26670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514350</xdr:colOff>
      <xdr:row>33</xdr:row>
      <xdr:rowOff>19050</xdr:rowOff>
    </xdr:from>
    <xdr:to>
      <xdr:col>12</xdr:col>
      <xdr:colOff>9525</xdr:colOff>
      <xdr:row>33</xdr:row>
      <xdr:rowOff>133350</xdr:rowOff>
    </xdr:to>
    <xdr:sp macro="" textlink="">
      <xdr:nvSpPr>
        <xdr:cNvPr id="403898" name="Freeform 1313"/>
        <xdr:cNvSpPr>
          <a:spLocks/>
        </xdr:cNvSpPr>
      </xdr:nvSpPr>
      <xdr:spPr bwMode="auto">
        <a:xfrm>
          <a:off x="9144000" y="6543675"/>
          <a:ext cx="104775" cy="114300"/>
        </a:xfrm>
        <a:custGeom>
          <a:avLst/>
          <a:gdLst>
            <a:gd name="T0" fmla="*/ 2147483647 w 164"/>
            <a:gd name="T1" fmla="*/ 0 h 179"/>
            <a:gd name="T2" fmla="*/ 2147483647 w 164"/>
            <a:gd name="T3" fmla="*/ 2147483647 h 179"/>
            <a:gd name="T4" fmla="*/ 0 w 164"/>
            <a:gd name="T5" fmla="*/ 0 h 179"/>
            <a:gd name="T6" fmla="*/ 2147483647 w 164"/>
            <a:gd name="T7" fmla="*/ 0 h 179"/>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164" h="179">
              <a:moveTo>
                <a:pt x="164" y="0"/>
              </a:moveTo>
              <a:lnTo>
                <a:pt x="90" y="179"/>
              </a:lnTo>
              <a:lnTo>
                <a:pt x="0" y="0"/>
              </a:lnTo>
              <a:lnTo>
                <a:pt x="164" y="0"/>
              </a:lnTo>
              <a:close/>
            </a:path>
          </a:pathLst>
        </a:custGeom>
        <a:solidFill>
          <a:srgbClr val="000000"/>
        </a:solidFill>
        <a:ln w="0">
          <a:solidFill>
            <a:srgbClr val="000000"/>
          </a:solidFill>
          <a:round/>
          <a:headEnd/>
          <a:tailEnd/>
        </a:ln>
      </xdr:spPr>
    </xdr:sp>
    <xdr:clientData/>
  </xdr:twoCellAnchor>
  <xdr:twoCellAnchor>
    <xdr:from>
      <xdr:col>12</xdr:col>
      <xdr:colOff>247650</xdr:colOff>
      <xdr:row>34</xdr:row>
      <xdr:rowOff>95250</xdr:rowOff>
    </xdr:from>
    <xdr:to>
      <xdr:col>13</xdr:col>
      <xdr:colOff>180975</xdr:colOff>
      <xdr:row>34</xdr:row>
      <xdr:rowOff>95250</xdr:rowOff>
    </xdr:to>
    <xdr:sp macro="" textlink="">
      <xdr:nvSpPr>
        <xdr:cNvPr id="403899" name="Line 1312"/>
        <xdr:cNvSpPr>
          <a:spLocks noChangeShapeType="1"/>
        </xdr:cNvSpPr>
      </xdr:nvSpPr>
      <xdr:spPr bwMode="auto">
        <a:xfrm>
          <a:off x="9486900" y="6819900"/>
          <a:ext cx="542925"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123825</xdr:colOff>
      <xdr:row>34</xdr:row>
      <xdr:rowOff>38100</xdr:rowOff>
    </xdr:from>
    <xdr:to>
      <xdr:col>13</xdr:col>
      <xdr:colOff>238125</xdr:colOff>
      <xdr:row>34</xdr:row>
      <xdr:rowOff>152400</xdr:rowOff>
    </xdr:to>
    <xdr:sp macro="" textlink="">
      <xdr:nvSpPr>
        <xdr:cNvPr id="403900" name="Freeform 1311"/>
        <xdr:cNvSpPr>
          <a:spLocks/>
        </xdr:cNvSpPr>
      </xdr:nvSpPr>
      <xdr:spPr bwMode="auto">
        <a:xfrm>
          <a:off x="9972675" y="6762750"/>
          <a:ext cx="114300" cy="114300"/>
        </a:xfrm>
        <a:custGeom>
          <a:avLst/>
          <a:gdLst>
            <a:gd name="T0" fmla="*/ 0 w 179"/>
            <a:gd name="T1" fmla="*/ 0 h 180"/>
            <a:gd name="T2" fmla="*/ 2147483647 w 179"/>
            <a:gd name="T3" fmla="*/ 2147483647 h 180"/>
            <a:gd name="T4" fmla="*/ 0 w 179"/>
            <a:gd name="T5" fmla="*/ 2147483647 h 180"/>
            <a:gd name="T6" fmla="*/ 0 w 179"/>
            <a:gd name="T7" fmla="*/ 0 h 180"/>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179" h="180">
              <a:moveTo>
                <a:pt x="0" y="0"/>
              </a:moveTo>
              <a:lnTo>
                <a:pt x="179" y="90"/>
              </a:lnTo>
              <a:lnTo>
                <a:pt x="0" y="180"/>
              </a:lnTo>
              <a:lnTo>
                <a:pt x="0" y="0"/>
              </a:lnTo>
              <a:close/>
            </a:path>
          </a:pathLst>
        </a:custGeom>
        <a:solidFill>
          <a:srgbClr val="000000"/>
        </a:solidFill>
        <a:ln w="0">
          <a:solidFill>
            <a:srgbClr val="000000"/>
          </a:solidFill>
          <a:round/>
          <a:headEnd/>
          <a:tailEnd/>
        </a:ln>
      </xdr:spPr>
    </xdr:sp>
    <xdr:clientData/>
  </xdr:twoCellAnchor>
  <xdr:twoCellAnchor>
    <xdr:from>
      <xdr:col>10</xdr:col>
      <xdr:colOff>295275</xdr:colOff>
      <xdr:row>34</xdr:row>
      <xdr:rowOff>95250</xdr:rowOff>
    </xdr:from>
    <xdr:to>
      <xdr:col>11</xdr:col>
      <xdr:colOff>238125</xdr:colOff>
      <xdr:row>34</xdr:row>
      <xdr:rowOff>95250</xdr:rowOff>
    </xdr:to>
    <xdr:sp macro="" textlink="">
      <xdr:nvSpPr>
        <xdr:cNvPr id="403901" name="Line 1310"/>
        <xdr:cNvSpPr>
          <a:spLocks noChangeShapeType="1"/>
        </xdr:cNvSpPr>
      </xdr:nvSpPr>
      <xdr:spPr bwMode="auto">
        <a:xfrm flipH="1">
          <a:off x="8315325" y="6819900"/>
          <a:ext cx="552450"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238125</xdr:colOff>
      <xdr:row>33</xdr:row>
      <xdr:rowOff>190500</xdr:rowOff>
    </xdr:from>
    <xdr:to>
      <xdr:col>14</xdr:col>
      <xdr:colOff>238125</xdr:colOff>
      <xdr:row>34</xdr:row>
      <xdr:rowOff>190500</xdr:rowOff>
    </xdr:to>
    <xdr:sp macro="" textlink="">
      <xdr:nvSpPr>
        <xdr:cNvPr id="403903" name="Rectangle 1308"/>
        <xdr:cNvSpPr>
          <a:spLocks noChangeArrowheads="1"/>
        </xdr:cNvSpPr>
      </xdr:nvSpPr>
      <xdr:spPr bwMode="auto">
        <a:xfrm>
          <a:off x="10086975" y="6715125"/>
          <a:ext cx="609600" cy="200025"/>
        </a:xfrm>
        <a:prstGeom prst="rect">
          <a:avLst/>
        </a:prstGeom>
        <a:solidFill>
          <a:srgbClr val="FFFFFF"/>
        </a:solidFill>
        <a:ln w="0">
          <a:solidFill>
            <a:srgbClr val="FFFFFF"/>
          </a:solidFill>
          <a:miter lim="800000"/>
          <a:headEnd/>
          <a:tailEnd/>
        </a:ln>
      </xdr:spPr>
    </xdr:sp>
    <xdr:clientData/>
  </xdr:twoCellAnchor>
  <xdr:twoCellAnchor>
    <xdr:from>
      <xdr:col>13</xdr:col>
      <xdr:colOff>285750</xdr:colOff>
      <xdr:row>34</xdr:row>
      <xdr:rowOff>19050</xdr:rowOff>
    </xdr:from>
    <xdr:to>
      <xdr:col>14</xdr:col>
      <xdr:colOff>257175</xdr:colOff>
      <xdr:row>35</xdr:row>
      <xdr:rowOff>57150</xdr:rowOff>
    </xdr:to>
    <xdr:sp macro="" textlink="">
      <xdr:nvSpPr>
        <xdr:cNvPr id="35" name="Rectangle 1307"/>
        <xdr:cNvSpPr>
          <a:spLocks noChangeArrowheads="1"/>
        </xdr:cNvSpPr>
      </xdr:nvSpPr>
      <xdr:spPr bwMode="auto">
        <a:xfrm>
          <a:off x="10534650" y="5314950"/>
          <a:ext cx="5810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a:lstStyle/>
        <a:p>
          <a:pPr algn="l" rtl="0">
            <a:defRPr sz="1000"/>
          </a:pPr>
          <a:r>
            <a:rPr lang="sv-SE" sz="1000" b="0" i="0" u="none" strike="noStrike" baseline="0">
              <a:solidFill>
                <a:srgbClr val="000000"/>
              </a:solidFill>
              <a:latin typeface="Times New Roman"/>
              <a:cs typeface="Times New Roman"/>
            </a:rPr>
            <a:t>Charcoal</a:t>
          </a:r>
        </a:p>
      </xdr:txBody>
    </xdr:sp>
    <xdr:clientData/>
  </xdr:twoCellAnchor>
  <xdr:twoCellAnchor>
    <xdr:from>
      <xdr:col>9</xdr:col>
      <xdr:colOff>0</xdr:colOff>
      <xdr:row>34</xdr:row>
      <xdr:rowOff>19050</xdr:rowOff>
    </xdr:from>
    <xdr:to>
      <xdr:col>10</xdr:col>
      <xdr:colOff>257175</xdr:colOff>
      <xdr:row>35</xdr:row>
      <xdr:rowOff>0</xdr:rowOff>
    </xdr:to>
    <xdr:sp macro="" textlink="">
      <xdr:nvSpPr>
        <xdr:cNvPr id="403905" name="Rectangle 1306"/>
        <xdr:cNvSpPr>
          <a:spLocks noChangeArrowheads="1"/>
        </xdr:cNvSpPr>
      </xdr:nvSpPr>
      <xdr:spPr bwMode="auto">
        <a:xfrm>
          <a:off x="7410450" y="6743700"/>
          <a:ext cx="866775" cy="180975"/>
        </a:xfrm>
        <a:prstGeom prst="rect">
          <a:avLst/>
        </a:prstGeom>
        <a:solidFill>
          <a:srgbClr val="FFFFFF"/>
        </a:solidFill>
        <a:ln w="0">
          <a:solidFill>
            <a:srgbClr val="FFFFFF"/>
          </a:solidFill>
          <a:miter lim="800000"/>
          <a:headEnd/>
          <a:tailEnd/>
        </a:ln>
      </xdr:spPr>
    </xdr:sp>
    <xdr:clientData/>
  </xdr:twoCellAnchor>
  <xdr:twoCellAnchor>
    <xdr:from>
      <xdr:col>8</xdr:col>
      <xdr:colOff>542925</xdr:colOff>
      <xdr:row>34</xdr:row>
      <xdr:rowOff>28574</xdr:rowOff>
    </xdr:from>
    <xdr:to>
      <xdr:col>10</xdr:col>
      <xdr:colOff>123825</xdr:colOff>
      <xdr:row>35</xdr:row>
      <xdr:rowOff>85724</xdr:rowOff>
    </xdr:to>
    <xdr:sp macro="" textlink="">
      <xdr:nvSpPr>
        <xdr:cNvPr id="37" name="Rectangle 1305"/>
        <xdr:cNvSpPr>
          <a:spLocks noChangeArrowheads="1"/>
        </xdr:cNvSpPr>
      </xdr:nvSpPr>
      <xdr:spPr bwMode="auto">
        <a:xfrm>
          <a:off x="7743825" y="5191124"/>
          <a:ext cx="8001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a:lstStyle/>
        <a:p>
          <a:pPr algn="l" rtl="0">
            <a:defRPr sz="1000"/>
          </a:pPr>
          <a:r>
            <a:rPr lang="sv-SE" sz="1000" b="0" i="0" u="none" strike="noStrike" baseline="0">
              <a:solidFill>
                <a:srgbClr val="000000"/>
              </a:solidFill>
              <a:latin typeface="Times New Roman"/>
              <a:cs typeface="Times New Roman"/>
            </a:rPr>
            <a:t>Tar, volatiles</a:t>
          </a:r>
        </a:p>
      </xdr:txBody>
    </xdr:sp>
    <xdr:clientData/>
  </xdr:twoCellAnchor>
  <xdr:twoCellAnchor>
    <xdr:from>
      <xdr:col>13</xdr:col>
      <xdr:colOff>238125</xdr:colOff>
      <xdr:row>27</xdr:row>
      <xdr:rowOff>47625</xdr:rowOff>
    </xdr:from>
    <xdr:to>
      <xdr:col>14</xdr:col>
      <xdr:colOff>409575</xdr:colOff>
      <xdr:row>28</xdr:row>
      <xdr:rowOff>171450</xdr:rowOff>
    </xdr:to>
    <xdr:sp macro="" textlink="">
      <xdr:nvSpPr>
        <xdr:cNvPr id="403907" name="Rectangle 1304"/>
        <xdr:cNvSpPr>
          <a:spLocks noChangeArrowheads="1"/>
        </xdr:cNvSpPr>
      </xdr:nvSpPr>
      <xdr:spPr bwMode="auto">
        <a:xfrm>
          <a:off x="10086975" y="5372100"/>
          <a:ext cx="781050" cy="323850"/>
        </a:xfrm>
        <a:prstGeom prst="rect">
          <a:avLst/>
        </a:prstGeom>
        <a:solidFill>
          <a:srgbClr val="FFFFFF"/>
        </a:solidFill>
        <a:ln w="0">
          <a:solidFill>
            <a:srgbClr val="000000"/>
          </a:solidFill>
          <a:miter lim="800000"/>
          <a:headEnd/>
          <a:tailEnd/>
        </a:ln>
      </xdr:spPr>
    </xdr:sp>
    <xdr:clientData/>
  </xdr:twoCellAnchor>
  <xdr:twoCellAnchor>
    <xdr:from>
      <xdr:col>13</xdr:col>
      <xdr:colOff>257175</xdr:colOff>
      <xdr:row>27</xdr:row>
      <xdr:rowOff>57150</xdr:rowOff>
    </xdr:from>
    <xdr:to>
      <xdr:col>14</xdr:col>
      <xdr:colOff>409575</xdr:colOff>
      <xdr:row>28</xdr:row>
      <xdr:rowOff>133350</xdr:rowOff>
    </xdr:to>
    <xdr:sp macro="" textlink="">
      <xdr:nvSpPr>
        <xdr:cNvPr id="39" name="Rectangle 1303"/>
        <xdr:cNvSpPr>
          <a:spLocks noChangeArrowheads="1"/>
        </xdr:cNvSpPr>
      </xdr:nvSpPr>
      <xdr:spPr bwMode="auto">
        <a:xfrm>
          <a:off x="10506075" y="4162425"/>
          <a:ext cx="7620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ctr" anchorCtr="0"/>
        <a:lstStyle/>
        <a:p>
          <a:pPr algn="ctr" rtl="0">
            <a:defRPr sz="1000"/>
          </a:pPr>
          <a:r>
            <a:rPr lang="sv-SE" sz="900" b="0" i="0" u="none" strike="noStrike" baseline="0">
              <a:solidFill>
                <a:srgbClr val="000000"/>
              </a:solidFill>
              <a:latin typeface="Arial" panose="020B0604020202020204" pitchFamily="34" charset="0"/>
              <a:cs typeface="Arial" panose="020B0604020202020204" pitchFamily="34" charset="0"/>
            </a:rPr>
            <a:t>5.Fertilizers </a:t>
          </a:r>
        </a:p>
      </xdr:txBody>
    </xdr:sp>
    <xdr:clientData/>
  </xdr:twoCellAnchor>
  <xdr:twoCellAnchor>
    <xdr:from>
      <xdr:col>12</xdr:col>
      <xdr:colOff>304800</xdr:colOff>
      <xdr:row>28</xdr:row>
      <xdr:rowOff>9525</xdr:rowOff>
    </xdr:from>
    <xdr:to>
      <xdr:col>13</xdr:col>
      <xdr:colOff>247650</xdr:colOff>
      <xdr:row>28</xdr:row>
      <xdr:rowOff>9525</xdr:rowOff>
    </xdr:to>
    <xdr:sp macro="" textlink="">
      <xdr:nvSpPr>
        <xdr:cNvPr id="403909" name="Line 1302"/>
        <xdr:cNvSpPr>
          <a:spLocks noChangeShapeType="1"/>
        </xdr:cNvSpPr>
      </xdr:nvSpPr>
      <xdr:spPr bwMode="auto">
        <a:xfrm flipH="1">
          <a:off x="9544050" y="5534025"/>
          <a:ext cx="552450"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219075</xdr:colOff>
      <xdr:row>34</xdr:row>
      <xdr:rowOff>38100</xdr:rowOff>
    </xdr:from>
    <xdr:to>
      <xdr:col>10</xdr:col>
      <xdr:colOff>333375</xdr:colOff>
      <xdr:row>35</xdr:row>
      <xdr:rowOff>0</xdr:rowOff>
    </xdr:to>
    <xdr:sp macro="" textlink="">
      <xdr:nvSpPr>
        <xdr:cNvPr id="56" name="Freeform 1311"/>
        <xdr:cNvSpPr>
          <a:spLocks/>
        </xdr:cNvSpPr>
      </xdr:nvSpPr>
      <xdr:spPr bwMode="auto">
        <a:xfrm rot="10800000">
          <a:off x="8639175" y="5334000"/>
          <a:ext cx="114300" cy="104775"/>
        </a:xfrm>
        <a:custGeom>
          <a:avLst/>
          <a:gdLst>
            <a:gd name="T0" fmla="*/ 0 w 179"/>
            <a:gd name="T1" fmla="*/ 0 h 180"/>
            <a:gd name="T2" fmla="*/ 2147483647 w 179"/>
            <a:gd name="T3" fmla="*/ 2147483647 h 180"/>
            <a:gd name="T4" fmla="*/ 0 w 179"/>
            <a:gd name="T5" fmla="*/ 2147483647 h 180"/>
            <a:gd name="T6" fmla="*/ 0 w 179"/>
            <a:gd name="T7" fmla="*/ 0 h 180"/>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179" h="180">
              <a:moveTo>
                <a:pt x="0" y="0"/>
              </a:moveTo>
              <a:lnTo>
                <a:pt x="179" y="90"/>
              </a:lnTo>
              <a:lnTo>
                <a:pt x="0" y="180"/>
              </a:lnTo>
              <a:lnTo>
                <a:pt x="0" y="0"/>
              </a:lnTo>
              <a:close/>
            </a:path>
          </a:pathLst>
        </a:custGeom>
        <a:solidFill>
          <a:srgbClr val="000000"/>
        </a:solidFill>
        <a:ln w="0">
          <a:solidFill>
            <a:srgbClr val="000000"/>
          </a:solidFill>
          <a:round/>
          <a:headEnd/>
          <a:tailEnd/>
        </a:ln>
      </xdr:spPr>
    </xdr:sp>
    <xdr:clientData/>
  </xdr:twoCellAnchor>
  <xdr:twoCellAnchor>
    <xdr:from>
      <xdr:col>12</xdr:col>
      <xdr:colOff>257175</xdr:colOff>
      <xdr:row>27</xdr:row>
      <xdr:rowOff>95250</xdr:rowOff>
    </xdr:from>
    <xdr:to>
      <xdr:col>12</xdr:col>
      <xdr:colOff>371475</xdr:colOff>
      <xdr:row>28</xdr:row>
      <xdr:rowOff>57150</xdr:rowOff>
    </xdr:to>
    <xdr:sp macro="" textlink="">
      <xdr:nvSpPr>
        <xdr:cNvPr id="58" name="Freeform 1311"/>
        <xdr:cNvSpPr>
          <a:spLocks/>
        </xdr:cNvSpPr>
      </xdr:nvSpPr>
      <xdr:spPr bwMode="auto">
        <a:xfrm rot="10800000">
          <a:off x="9896475" y="4333875"/>
          <a:ext cx="114300" cy="104775"/>
        </a:xfrm>
        <a:custGeom>
          <a:avLst/>
          <a:gdLst>
            <a:gd name="T0" fmla="*/ 0 w 179"/>
            <a:gd name="T1" fmla="*/ 0 h 180"/>
            <a:gd name="T2" fmla="*/ 2147483647 w 179"/>
            <a:gd name="T3" fmla="*/ 2147483647 h 180"/>
            <a:gd name="T4" fmla="*/ 0 w 179"/>
            <a:gd name="T5" fmla="*/ 2147483647 h 180"/>
            <a:gd name="T6" fmla="*/ 0 w 179"/>
            <a:gd name="T7" fmla="*/ 0 h 180"/>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179" h="180">
              <a:moveTo>
                <a:pt x="0" y="0"/>
              </a:moveTo>
              <a:lnTo>
                <a:pt x="179" y="90"/>
              </a:lnTo>
              <a:lnTo>
                <a:pt x="0" y="180"/>
              </a:lnTo>
              <a:lnTo>
                <a:pt x="0" y="0"/>
              </a:lnTo>
              <a:close/>
            </a:path>
          </a:pathLst>
        </a:custGeom>
        <a:solidFill>
          <a:srgbClr val="000000"/>
        </a:solidFill>
        <a:ln w="0">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409575</xdr:colOff>
      <xdr:row>0</xdr:row>
      <xdr:rowOff>142875</xdr:rowOff>
    </xdr:from>
    <xdr:to>
      <xdr:col>16</xdr:col>
      <xdr:colOff>304800</xdr:colOff>
      <xdr:row>11</xdr:row>
      <xdr:rowOff>133350</xdr:rowOff>
    </xdr:to>
    <xdr:sp macro="" textlink="">
      <xdr:nvSpPr>
        <xdr:cNvPr id="7173" name="Object 5" hidden="1">
          <a:extLst>
            <a:ext uri="{63B3BB69-23CF-44E3-9099-C40C66FF867C}">
              <a14:compatExt xmlns:a14="http://schemas.microsoft.com/office/drawing/2010/main" spid="_x0000_s717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10</xdr:col>
      <xdr:colOff>409575</xdr:colOff>
      <xdr:row>0</xdr:row>
      <xdr:rowOff>142875</xdr:rowOff>
    </xdr:from>
    <xdr:to>
      <xdr:col>16</xdr:col>
      <xdr:colOff>304800</xdr:colOff>
      <xdr:row>11</xdr:row>
      <xdr:rowOff>133350</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972550" y="142875"/>
          <a:ext cx="3505200" cy="1971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57150</xdr:colOff>
      <xdr:row>2</xdr:row>
      <xdr:rowOff>133350</xdr:rowOff>
    </xdr:from>
    <xdr:to>
      <xdr:col>11</xdr:col>
      <xdr:colOff>219075</xdr:colOff>
      <xdr:row>17</xdr:row>
      <xdr:rowOff>9525</xdr:rowOff>
    </xdr:to>
    <xdr:sp macro="" textlink="">
      <xdr:nvSpPr>
        <xdr:cNvPr id="8196" name="Object 4" hidden="1">
          <a:extLst>
            <a:ext uri="{63B3BB69-23CF-44E3-9099-C40C66FF867C}">
              <a14:compatExt xmlns:a14="http://schemas.microsoft.com/office/drawing/2010/main" spid="_x0000_s819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57150</xdr:colOff>
      <xdr:row>2</xdr:row>
      <xdr:rowOff>133350</xdr:rowOff>
    </xdr:from>
    <xdr:to>
      <xdr:col>11</xdr:col>
      <xdr:colOff>219075</xdr:colOff>
      <xdr:row>17</xdr:row>
      <xdr:rowOff>9525</xdr:rowOff>
    </xdr:to>
    <xdr:pic>
      <xdr:nvPicPr>
        <xdr:cNvPr id="2" name="Pictur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05625" y="466725"/>
          <a:ext cx="3114675" cy="2667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14</xdr:col>
      <xdr:colOff>571500</xdr:colOff>
      <xdr:row>30</xdr:row>
      <xdr:rowOff>85725</xdr:rowOff>
    </xdr:to>
    <xdr:pic>
      <xdr:nvPicPr>
        <xdr:cNvPr id="16767" name="Picture 49"/>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29250" y="323850"/>
          <a:ext cx="5781675" cy="478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0</xdr:colOff>
      <xdr:row>6</xdr:row>
      <xdr:rowOff>0</xdr:rowOff>
    </xdr:from>
    <xdr:to>
      <xdr:col>8</xdr:col>
      <xdr:colOff>523875</xdr:colOff>
      <xdr:row>23</xdr:row>
      <xdr:rowOff>0</xdr:rowOff>
    </xdr:to>
    <xdr:pic>
      <xdr:nvPicPr>
        <xdr:cNvPr id="372806"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14750" y="1619250"/>
          <a:ext cx="4581525" cy="275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bengt.steen@chalmers.se" TargetMode="External"/></Relationships>
</file>

<file path=xl/worksheets/_rels/sheet10.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4.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drawing" Target="../drawings/drawing5.xml"/></Relationships>
</file>

<file path=xl/worksheets/_rels/sheet14.xml.rels><?xml version="1.0" encoding="UTF-8" standalone="yes"?>
<Relationships xmlns="http://schemas.openxmlformats.org/package/2006/relationships"><Relationship Id="rId2" Type="http://schemas.openxmlformats.org/officeDocument/2006/relationships/comments" Target="../comments13.xml"/><Relationship Id="rId1" Type="http://schemas.openxmlformats.org/officeDocument/2006/relationships/vmlDrawing" Target="../drawings/vmlDrawing13.vml"/></Relationships>
</file>

<file path=xl/worksheets/_rels/sheet15.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2" Type="http://schemas.openxmlformats.org/officeDocument/2006/relationships/comments" Target="../comments15.xml"/><Relationship Id="rId1" Type="http://schemas.openxmlformats.org/officeDocument/2006/relationships/vmlDrawing" Target="../drawings/vmlDrawing15.vm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tabSelected="1" workbookViewId="0">
      <selection activeCell="O4" sqref="O4"/>
    </sheetView>
  </sheetViews>
  <sheetFormatPr defaultColWidth="8.85546875" defaultRowHeight="12.75"/>
  <sheetData>
    <row r="1" spans="1:13" ht="23.25">
      <c r="B1" s="182" t="s">
        <v>1863</v>
      </c>
      <c r="M1" t="s">
        <v>1515</v>
      </c>
    </row>
    <row r="2" spans="1:13">
      <c r="B2" s="183" t="s">
        <v>1858</v>
      </c>
    </row>
    <row r="3" spans="1:13" ht="23.25">
      <c r="B3" s="182"/>
    </row>
    <row r="4" spans="1:13" ht="18">
      <c r="B4" s="184" t="s">
        <v>1865</v>
      </c>
    </row>
    <row r="5" spans="1:13">
      <c r="B5" s="185" t="s">
        <v>1859</v>
      </c>
    </row>
    <row r="6" spans="1:13">
      <c r="B6" s="186" t="s">
        <v>1860</v>
      </c>
    </row>
    <row r="7" spans="1:13">
      <c r="B7" s="186"/>
    </row>
    <row r="8" spans="1:13" ht="15">
      <c r="B8" s="187" t="s">
        <v>497</v>
      </c>
    </row>
    <row r="10" spans="1:13">
      <c r="B10" s="45" t="s">
        <v>1520</v>
      </c>
      <c r="L10" s="45"/>
    </row>
    <row r="12" spans="1:13">
      <c r="B12" s="45" t="s">
        <v>1521</v>
      </c>
    </row>
    <row r="14" spans="1:13">
      <c r="A14" s="45"/>
      <c r="B14" s="45" t="s">
        <v>1861</v>
      </c>
    </row>
    <row r="16" spans="1:13">
      <c r="A16" s="45"/>
      <c r="B16" s="45" t="s">
        <v>1522</v>
      </c>
    </row>
    <row r="18" spans="1:10">
      <c r="B18" s="45" t="s">
        <v>1523</v>
      </c>
    </row>
    <row r="19" spans="1:10">
      <c r="A19" s="45"/>
    </row>
    <row r="20" spans="1:10">
      <c r="B20" s="45" t="s">
        <v>1524</v>
      </c>
    </row>
    <row r="22" spans="1:10">
      <c r="C22" s="8"/>
      <c r="D22" s="8"/>
      <c r="E22" s="8"/>
      <c r="F22" s="8"/>
      <c r="G22" s="8"/>
      <c r="H22" s="8"/>
      <c r="I22" s="8"/>
    </row>
    <row r="23" spans="1:10">
      <c r="B23" s="69" t="s">
        <v>1532</v>
      </c>
      <c r="C23" s="69"/>
      <c r="D23" s="69"/>
      <c r="E23" s="69"/>
      <c r="F23" s="69"/>
      <c r="G23" s="69"/>
      <c r="H23" s="69"/>
      <c r="I23" s="69"/>
      <c r="J23" s="69"/>
    </row>
  </sheetData>
  <hyperlinks>
    <hyperlink ref="B6"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287"/>
  <sheetViews>
    <sheetView workbookViewId="0">
      <pane xSplit="3" ySplit="1" topLeftCell="J2" activePane="bottomRight" state="frozen"/>
      <selection activeCell="L190" sqref="L190"/>
      <selection pane="topRight" activeCell="L190" sqref="L190"/>
      <selection pane="bottomLeft" activeCell="L190" sqref="L190"/>
      <selection pane="bottomRight" activeCell="Y278" sqref="Y278"/>
    </sheetView>
  </sheetViews>
  <sheetFormatPr defaultColWidth="8.85546875" defaultRowHeight="12.75"/>
  <cols>
    <col min="1" max="1" width="23.42578125" customWidth="1"/>
    <col min="2" max="3" width="4.7109375" customWidth="1"/>
    <col min="5" max="5" width="10.42578125" bestFit="1" customWidth="1"/>
    <col min="7" max="7" width="10.42578125" bestFit="1" customWidth="1"/>
    <col min="8" max="8" width="9.42578125" customWidth="1"/>
    <col min="11" max="11" width="10" customWidth="1"/>
    <col min="17" max="22" width="9.85546875" customWidth="1"/>
    <col min="23" max="23" width="10.7109375" customWidth="1"/>
    <col min="24" max="24" width="10.42578125" bestFit="1" customWidth="1"/>
    <col min="25" max="25" width="8.85546875" style="140" customWidth="1"/>
    <col min="27" max="27" width="13.28515625" style="88" customWidth="1"/>
    <col min="29" max="29" width="11.42578125" bestFit="1" customWidth="1"/>
  </cols>
  <sheetData>
    <row r="1" spans="1:30" ht="51">
      <c r="A1" t="s">
        <v>177</v>
      </c>
      <c r="B1" s="45"/>
      <c r="C1" s="45"/>
      <c r="D1" t="s">
        <v>264</v>
      </c>
      <c r="E1" t="s">
        <v>763</v>
      </c>
      <c r="F1" s="45" t="s">
        <v>265</v>
      </c>
      <c r="G1" t="s">
        <v>763</v>
      </c>
      <c r="H1" s="6" t="s">
        <v>1009</v>
      </c>
      <c r="I1" s="6" t="s">
        <v>1010</v>
      </c>
      <c r="J1" s="46" t="s">
        <v>1498</v>
      </c>
      <c r="K1" s="6" t="s">
        <v>995</v>
      </c>
      <c r="L1" s="6" t="s">
        <v>996</v>
      </c>
      <c r="M1" s="6" t="s">
        <v>997</v>
      </c>
      <c r="N1" s="6" t="s">
        <v>998</v>
      </c>
      <c r="O1" s="6" t="s">
        <v>999</v>
      </c>
      <c r="P1" s="6" t="s">
        <v>1000</v>
      </c>
      <c r="Q1" s="6" t="s">
        <v>1001</v>
      </c>
      <c r="R1" s="6" t="s">
        <v>1002</v>
      </c>
      <c r="S1" s="6" t="s">
        <v>1003</v>
      </c>
      <c r="T1" s="6" t="s">
        <v>1004</v>
      </c>
      <c r="U1" s="6" t="s">
        <v>1005</v>
      </c>
      <c r="V1" s="6" t="s">
        <v>1006</v>
      </c>
      <c r="W1" s="6" t="s">
        <v>1007</v>
      </c>
      <c r="X1" s="6" t="s">
        <v>1008</v>
      </c>
      <c r="Y1" s="198" t="s">
        <v>1857</v>
      </c>
      <c r="AA1" s="143"/>
    </row>
    <row r="2" spans="1:30">
      <c r="Y2" s="197"/>
    </row>
    <row r="3" spans="1:30">
      <c r="A3" s="132" t="s">
        <v>266</v>
      </c>
      <c r="B3" s="2"/>
      <c r="C3" s="2"/>
      <c r="Y3" s="197"/>
      <c r="AC3" s="5"/>
    </row>
    <row r="4" spans="1:30">
      <c r="A4" s="45" t="s">
        <v>263</v>
      </c>
      <c r="D4">
        <v>5332</v>
      </c>
      <c r="E4">
        <v>1.3</v>
      </c>
      <c r="F4">
        <v>1</v>
      </c>
      <c r="H4" s="1">
        <f t="shared" ref="H4:H18" si="0">F4*0.000179</f>
        <v>1.7899999999999999E-4</v>
      </c>
      <c r="I4" s="43">
        <f t="shared" ref="I4:I67" si="1">charco2yoll*D4</f>
        <v>3.4598937086023161E-3</v>
      </c>
      <c r="J4" s="1">
        <f>F4*0.00000133</f>
        <v>1.33E-6</v>
      </c>
      <c r="K4" s="1">
        <f>F4*0.000266</f>
        <v>2.6600000000000001E-4</v>
      </c>
      <c r="L4" s="43">
        <f t="shared" ref="L4:L18" si="2">CO2_malnutrition_charfact*D4</f>
        <v>1.2753979305019304E-2</v>
      </c>
      <c r="M4" s="43">
        <f t="shared" ref="M4:M18" si="3">CO2_workingcapacity_charfact*D4</f>
        <v>6.2175649111969105E-3</v>
      </c>
      <c r="N4" s="43">
        <f t="shared" ref="N4:N18" si="4">CO2_diarrhea_charfact*D4</f>
        <v>8.5026528700128689E-5</v>
      </c>
      <c r="O4" s="43">
        <f t="shared" ref="O4:O18" si="5">CO2_crop_charfact</f>
        <v>1.0903898856840032E-2</v>
      </c>
      <c r="P4" s="43">
        <f t="shared" ref="P4:P18" si="6">CO2_fruitandveg_charfact*D4</f>
        <v>6.9631100249829645</v>
      </c>
      <c r="Q4" s="43">
        <v>-4.6399999999999997</v>
      </c>
      <c r="R4" s="43">
        <f t="shared" ref="R4:R18" si="7">CO2_meatandfish_charfact*D4</f>
        <v>2.743043343175108</v>
      </c>
      <c r="S4" s="43">
        <f t="shared" ref="S4:S18" si="8">CO2_drinkingwater_charfact*D4</f>
        <v>334.79195675675675</v>
      </c>
      <c r="T4" s="43">
        <f t="shared" ref="T4:T18" si="9">CO2_irrigationwater_charfact*D4</f>
        <v>669.58391351351349</v>
      </c>
      <c r="U4" s="43">
        <f t="shared" ref="U4:U18" si="10">CO2_energyaccess_charfact*D4</f>
        <v>1.6908684684684681E-3</v>
      </c>
      <c r="V4" s="43">
        <f t="shared" ref="V4:V18" si="11">CO2_housing_charfact*D4</f>
        <v>1.0628316087516087E-4</v>
      </c>
      <c r="W4" s="43">
        <f t="shared" ref="W4:W18" si="12">CO2_separations_charfact*D4</f>
        <v>1.2077631917631916E-3</v>
      </c>
      <c r="X4" s="43">
        <f t="shared" ref="X4:X18" si="13">CO2_NEX_charfact*D4</f>
        <v>1.2077631917631917E-12</v>
      </c>
      <c r="Y4" s="205">
        <f t="shared" ref="Y4:Y18" si="14">(H4+I4)*YOLLvalue+J4*skincancervalue+K4*Lowvisionvalue+L4*malnutrition+M4*working_capacity+N4*diarrhea+O4*cropvalue+P4*Fruitandveg_value+Q4*woodvalue+R4*fishandmeatvalue+S4*drinkingwatervalue+T4*irrigationwatervalue+U4*energy_access+V4*housingvalue+W4*migrationvalue+X4*speciesvalue</f>
        <v>716.88940202857145</v>
      </c>
      <c r="AC4" s="5"/>
    </row>
    <row r="5" spans="1:30">
      <c r="A5" s="45" t="s">
        <v>267</v>
      </c>
      <c r="D5">
        <v>11547</v>
      </c>
      <c r="E5">
        <v>1.3</v>
      </c>
      <c r="F5">
        <v>1</v>
      </c>
      <c r="H5" s="1">
        <f t="shared" si="0"/>
        <v>1.7899999999999999E-4</v>
      </c>
      <c r="I5" s="43">
        <f t="shared" si="1"/>
        <v>7.4927593123088792E-3</v>
      </c>
      <c r="J5" s="1">
        <f t="shared" ref="J5:J68" si="15">F5*0.00000133</f>
        <v>1.33E-6</v>
      </c>
      <c r="K5" s="1">
        <f t="shared" ref="K5:K68" si="16">F5*0.000266</f>
        <v>2.6600000000000001E-4</v>
      </c>
      <c r="L5" s="43">
        <f t="shared" si="2"/>
        <v>2.7620067335907331E-2</v>
      </c>
      <c r="M5" s="43">
        <f t="shared" si="3"/>
        <v>1.3464782826254825E-2</v>
      </c>
      <c r="N5" s="43">
        <f t="shared" si="4"/>
        <v>1.8413378223938222E-4</v>
      </c>
      <c r="O5" s="43">
        <f t="shared" si="5"/>
        <v>1.0903898856840032E-2</v>
      </c>
      <c r="P5" s="43">
        <f t="shared" si="6"/>
        <v>15.079338233022936</v>
      </c>
      <c r="Q5" s="43">
        <v>-3.64</v>
      </c>
      <c r="R5" s="43">
        <f t="shared" si="7"/>
        <v>5.9403453645241884</v>
      </c>
      <c r="S5" s="43">
        <f t="shared" si="8"/>
        <v>725.0267675675675</v>
      </c>
      <c r="T5" s="43">
        <f t="shared" si="9"/>
        <v>1450.053535135135</v>
      </c>
      <c r="U5" s="43">
        <f t="shared" si="10"/>
        <v>3.6617513513513508E-3</v>
      </c>
      <c r="V5" s="43">
        <f t="shared" si="11"/>
        <v>2.3016722779922778E-4</v>
      </c>
      <c r="W5" s="43">
        <f t="shared" si="12"/>
        <v>2.615536679536679E-3</v>
      </c>
      <c r="X5" s="43">
        <f t="shared" si="13"/>
        <v>2.6155366795366794E-12</v>
      </c>
      <c r="Y5" s="205">
        <f t="shared" si="14"/>
        <v>1539.680564600151</v>
      </c>
      <c r="AC5" s="5"/>
    </row>
    <row r="6" spans="1:30">
      <c r="A6" s="45" t="s">
        <v>268</v>
      </c>
      <c r="D6">
        <v>15451</v>
      </c>
      <c r="E6">
        <v>1.3</v>
      </c>
      <c r="F6">
        <v>1</v>
      </c>
      <c r="H6" s="1">
        <f t="shared" si="0"/>
        <v>1.7899999999999999E-4</v>
      </c>
      <c r="I6" s="43">
        <f t="shared" si="1"/>
        <v>1.002603482588417E-2</v>
      </c>
      <c r="J6" s="1">
        <f t="shared" si="15"/>
        <v>1.33E-6</v>
      </c>
      <c r="K6" s="1">
        <f t="shared" si="16"/>
        <v>2.6600000000000001E-4</v>
      </c>
      <c r="L6" s="43">
        <f t="shared" si="2"/>
        <v>3.6958314749034743E-2</v>
      </c>
      <c r="M6" s="43">
        <f t="shared" si="3"/>
        <v>1.8017178440154439E-2</v>
      </c>
      <c r="N6" s="43">
        <f t="shared" si="4"/>
        <v>2.4638876499356497E-4</v>
      </c>
      <c r="O6" s="43">
        <f t="shared" si="5"/>
        <v>1.0903898856840032E-2</v>
      </c>
      <c r="P6" s="43">
        <f t="shared" si="6"/>
        <v>20.177609339086981</v>
      </c>
      <c r="Q6" s="43">
        <v>-2.64</v>
      </c>
      <c r="R6" s="43">
        <f t="shared" si="7"/>
        <v>7.9487551941857832</v>
      </c>
      <c r="S6" s="43">
        <f t="shared" si="8"/>
        <v>970.15576216216209</v>
      </c>
      <c r="T6" s="43">
        <f t="shared" si="9"/>
        <v>1940.3115243243242</v>
      </c>
      <c r="U6" s="43">
        <f t="shared" si="10"/>
        <v>4.8997765765765762E-3</v>
      </c>
      <c r="V6" s="43">
        <f t="shared" si="11"/>
        <v>3.0798595624195621E-4</v>
      </c>
      <c r="W6" s="43">
        <f t="shared" si="12"/>
        <v>3.4998404118404113E-3</v>
      </c>
      <c r="X6" s="43">
        <f t="shared" si="13"/>
        <v>3.4998404118404115E-12</v>
      </c>
      <c r="Y6" s="205">
        <f t="shared" si="14"/>
        <v>2056.5380285871897</v>
      </c>
      <c r="AC6" s="5"/>
    </row>
    <row r="7" spans="1:30">
      <c r="A7" s="45" t="s">
        <v>922</v>
      </c>
      <c r="D7">
        <v>9500</v>
      </c>
      <c r="E7">
        <v>1.5</v>
      </c>
      <c r="F7">
        <v>1</v>
      </c>
      <c r="H7" s="1">
        <f t="shared" si="0"/>
        <v>1.7899999999999999E-4</v>
      </c>
      <c r="I7" s="43">
        <f t="shared" si="1"/>
        <v>6.1644767876447874E-3</v>
      </c>
      <c r="J7" s="1">
        <f t="shared" si="15"/>
        <v>1.33E-6</v>
      </c>
      <c r="K7" s="1">
        <f t="shared" si="16"/>
        <v>2.6600000000000001E-4</v>
      </c>
      <c r="L7" s="43">
        <f t="shared" si="2"/>
        <v>2.272370656370656E-2</v>
      </c>
      <c r="M7" s="43">
        <f t="shared" si="3"/>
        <v>1.1077806949806947E-2</v>
      </c>
      <c r="N7" s="43">
        <f t="shared" si="4"/>
        <v>1.5149137709137708E-4</v>
      </c>
      <c r="O7" s="43">
        <f t="shared" si="5"/>
        <v>1.0903898856840032E-2</v>
      </c>
      <c r="P7" s="43">
        <f t="shared" si="6"/>
        <v>12.406141267317736</v>
      </c>
      <c r="Q7" s="43">
        <v>-1.64</v>
      </c>
      <c r="R7" s="43">
        <f t="shared" si="7"/>
        <v>4.8872677719736544</v>
      </c>
      <c r="S7" s="43">
        <f t="shared" si="8"/>
        <v>596.49729729729734</v>
      </c>
      <c r="T7" s="43">
        <f t="shared" si="9"/>
        <v>1192.9945945945947</v>
      </c>
      <c r="U7" s="43">
        <f t="shared" si="10"/>
        <v>3.0126126126126121E-3</v>
      </c>
      <c r="V7" s="43">
        <f t="shared" si="11"/>
        <v>1.8936422136422136E-4</v>
      </c>
      <c r="W7" s="43">
        <f t="shared" si="12"/>
        <v>2.1518661518661517E-3</v>
      </c>
      <c r="X7" s="43">
        <f t="shared" si="13"/>
        <v>2.1518661518661518E-12</v>
      </c>
      <c r="Y7" s="205">
        <f t="shared" si="14"/>
        <v>1268.7755879655538</v>
      </c>
      <c r="AC7" s="5"/>
    </row>
    <row r="8" spans="1:30">
      <c r="A8" s="45" t="s">
        <v>923</v>
      </c>
      <c r="D8">
        <v>9500</v>
      </c>
      <c r="E8">
        <v>1.5</v>
      </c>
      <c r="F8">
        <v>1</v>
      </c>
      <c r="H8" s="1">
        <f t="shared" si="0"/>
        <v>1.7899999999999999E-4</v>
      </c>
      <c r="I8" s="43">
        <f t="shared" si="1"/>
        <v>6.1644767876447874E-3</v>
      </c>
      <c r="J8" s="1">
        <f t="shared" si="15"/>
        <v>1.33E-6</v>
      </c>
      <c r="K8" s="1">
        <f t="shared" si="16"/>
        <v>2.6600000000000001E-4</v>
      </c>
      <c r="L8" s="43">
        <f t="shared" si="2"/>
        <v>2.272370656370656E-2</v>
      </c>
      <c r="M8" s="43">
        <f t="shared" si="3"/>
        <v>1.1077806949806947E-2</v>
      </c>
      <c r="N8" s="43">
        <f t="shared" si="4"/>
        <v>1.5149137709137708E-4</v>
      </c>
      <c r="O8" s="43">
        <f t="shared" si="5"/>
        <v>1.0903898856840032E-2</v>
      </c>
      <c r="P8" s="43">
        <f t="shared" si="6"/>
        <v>12.406141267317736</v>
      </c>
      <c r="Q8" s="43">
        <v>-0.64</v>
      </c>
      <c r="R8" s="43">
        <f t="shared" si="7"/>
        <v>4.8872677719736544</v>
      </c>
      <c r="S8" s="43">
        <f t="shared" si="8"/>
        <v>596.49729729729734</v>
      </c>
      <c r="T8" s="43">
        <f t="shared" si="9"/>
        <v>1192.9945945945947</v>
      </c>
      <c r="U8" s="43">
        <f t="shared" si="10"/>
        <v>3.0126126126126121E-3</v>
      </c>
      <c r="V8" s="43">
        <f t="shared" si="11"/>
        <v>1.8936422136422136E-4</v>
      </c>
      <c r="W8" s="43">
        <f t="shared" si="12"/>
        <v>2.1518661518661517E-3</v>
      </c>
      <c r="X8" s="43">
        <f t="shared" si="13"/>
        <v>2.1518661518661518E-12</v>
      </c>
      <c r="Y8" s="205">
        <f t="shared" si="14"/>
        <v>1268.8155879655537</v>
      </c>
      <c r="AC8" s="45"/>
    </row>
    <row r="9" spans="1:30">
      <c r="A9" s="45" t="s">
        <v>269</v>
      </c>
      <c r="D9">
        <v>6586</v>
      </c>
      <c r="E9">
        <v>1.2</v>
      </c>
      <c r="F9">
        <v>1</v>
      </c>
      <c r="H9" s="1">
        <f t="shared" si="0"/>
        <v>1.7899999999999999E-4</v>
      </c>
      <c r="I9" s="43">
        <f t="shared" si="1"/>
        <v>4.2736046445714278E-3</v>
      </c>
      <c r="J9" s="1">
        <f t="shared" si="15"/>
        <v>1.33E-6</v>
      </c>
      <c r="K9" s="1">
        <f t="shared" si="16"/>
        <v>2.6600000000000001E-4</v>
      </c>
      <c r="L9" s="43">
        <f t="shared" si="2"/>
        <v>1.5753508571428571E-2</v>
      </c>
      <c r="M9" s="43">
        <f t="shared" si="3"/>
        <v>7.6798354285714269E-3</v>
      </c>
      <c r="N9" s="43">
        <f t="shared" si="4"/>
        <v>1.0502339047619047E-4</v>
      </c>
      <c r="O9" s="43">
        <f t="shared" si="5"/>
        <v>1.0903898856840032E-2</v>
      </c>
      <c r="P9" s="43">
        <f t="shared" si="6"/>
        <v>8.6007206722689062</v>
      </c>
      <c r="Q9" s="43">
        <v>0.36</v>
      </c>
      <c r="R9" s="43">
        <f t="shared" si="7"/>
        <v>3.3881626890756302</v>
      </c>
      <c r="S9" s="43">
        <f t="shared" si="8"/>
        <v>413.52959999999996</v>
      </c>
      <c r="T9" s="43">
        <f t="shared" si="9"/>
        <v>827.05919999999992</v>
      </c>
      <c r="U9" s="43">
        <f t="shared" si="10"/>
        <v>2.0885333333333332E-3</v>
      </c>
      <c r="V9" s="43">
        <f t="shared" si="11"/>
        <v>1.3127923809523809E-4</v>
      </c>
      <c r="W9" s="43">
        <f t="shared" si="12"/>
        <v>1.4918095238095235E-3</v>
      </c>
      <c r="X9" s="43">
        <f t="shared" si="13"/>
        <v>1.4918095238095237E-12</v>
      </c>
      <c r="Y9" s="205">
        <f t="shared" si="14"/>
        <v>883.09583129080181</v>
      </c>
    </row>
    <row r="10" spans="1:30">
      <c r="A10" s="45" t="s">
        <v>270</v>
      </c>
      <c r="D10">
        <v>9615</v>
      </c>
      <c r="E10">
        <v>1.2</v>
      </c>
      <c r="F10">
        <v>1</v>
      </c>
      <c r="H10" s="1">
        <f t="shared" si="0"/>
        <v>1.7899999999999999E-4</v>
      </c>
      <c r="I10" s="43">
        <f t="shared" si="1"/>
        <v>6.2390994013899609E-3</v>
      </c>
      <c r="J10" s="1">
        <f t="shared" si="15"/>
        <v>1.33E-6</v>
      </c>
      <c r="K10" s="1">
        <f t="shared" si="16"/>
        <v>2.6600000000000001E-4</v>
      </c>
      <c r="L10" s="43">
        <f t="shared" si="2"/>
        <v>2.2998783011583007E-2</v>
      </c>
      <c r="M10" s="43">
        <f t="shared" si="3"/>
        <v>1.1211906718146716E-2</v>
      </c>
      <c r="N10" s="43">
        <f t="shared" si="4"/>
        <v>1.5332522007722007E-4</v>
      </c>
      <c r="O10" s="43">
        <f t="shared" si="5"/>
        <v>1.0903898856840032E-2</v>
      </c>
      <c r="P10" s="43">
        <f t="shared" si="6"/>
        <v>12.556320872132634</v>
      </c>
      <c r="Q10" s="43">
        <v>1.36</v>
      </c>
      <c r="R10" s="43">
        <f t="shared" si="7"/>
        <v>4.9464294344764932</v>
      </c>
      <c r="S10" s="43">
        <f t="shared" si="8"/>
        <v>603.71805405405405</v>
      </c>
      <c r="T10" s="43">
        <f t="shared" si="9"/>
        <v>1207.4361081081081</v>
      </c>
      <c r="U10" s="43">
        <f t="shared" si="10"/>
        <v>3.0490810810810806E-3</v>
      </c>
      <c r="V10" s="43">
        <f t="shared" si="11"/>
        <v>1.9165652509652508E-4</v>
      </c>
      <c r="W10" s="43">
        <f t="shared" si="12"/>
        <v>2.1779150579150576E-3</v>
      </c>
      <c r="X10" s="43">
        <f t="shared" si="13"/>
        <v>2.1779150579150575E-12</v>
      </c>
      <c r="Y10" s="205">
        <f t="shared" si="14"/>
        <v>1284.119463057385</v>
      </c>
      <c r="AD10" s="1"/>
    </row>
    <row r="11" spans="1:30">
      <c r="A11" s="45" t="s">
        <v>271</v>
      </c>
      <c r="D11">
        <v>8516</v>
      </c>
      <c r="E11">
        <v>1.2</v>
      </c>
      <c r="F11">
        <v>0.44</v>
      </c>
      <c r="H11" s="1">
        <f t="shared" si="0"/>
        <v>7.8759999999999998E-5</v>
      </c>
      <c r="I11" s="43">
        <f t="shared" si="1"/>
        <v>5.5259667709034741E-3</v>
      </c>
      <c r="J11" s="1">
        <f t="shared" si="15"/>
        <v>5.8520000000000003E-7</v>
      </c>
      <c r="K11" s="1">
        <f t="shared" si="16"/>
        <v>1.1704E-4</v>
      </c>
      <c r="L11" s="43">
        <f t="shared" si="2"/>
        <v>2.0370008957528954E-2</v>
      </c>
      <c r="M11" s="43">
        <f t="shared" si="3"/>
        <v>9.9303793667953645E-3</v>
      </c>
      <c r="N11" s="43">
        <f t="shared" si="4"/>
        <v>1.3580005971685971E-4</v>
      </c>
      <c r="O11" s="43">
        <f t="shared" si="5"/>
        <v>1.0903898856840032E-2</v>
      </c>
      <c r="P11" s="43">
        <f t="shared" si="6"/>
        <v>11.121126213945036</v>
      </c>
      <c r="Q11" s="43">
        <v>2.36</v>
      </c>
      <c r="R11" s="43">
        <f t="shared" si="7"/>
        <v>4.3810497206450147</v>
      </c>
      <c r="S11" s="43">
        <f t="shared" si="8"/>
        <v>534.71273513513506</v>
      </c>
      <c r="T11" s="43">
        <f t="shared" si="9"/>
        <v>1069.4254702702701</v>
      </c>
      <c r="U11" s="43">
        <f t="shared" si="10"/>
        <v>2.7005693693693692E-3</v>
      </c>
      <c r="V11" s="43">
        <f t="shared" si="11"/>
        <v>1.6975007464607465E-4</v>
      </c>
      <c r="W11" s="43">
        <f t="shared" si="12"/>
        <v>1.9289781209781208E-3</v>
      </c>
      <c r="X11" s="43">
        <f t="shared" si="13"/>
        <v>1.9289781209781209E-12</v>
      </c>
      <c r="Y11" s="205">
        <f t="shared" si="14"/>
        <v>1132.3921477884926</v>
      </c>
    </row>
    <row r="12" spans="1:30">
      <c r="A12" s="45" t="s">
        <v>924</v>
      </c>
      <c r="D12">
        <v>9500</v>
      </c>
      <c r="E12">
        <v>1.5</v>
      </c>
      <c r="F12">
        <v>1</v>
      </c>
      <c r="H12" s="1">
        <f t="shared" si="0"/>
        <v>1.7899999999999999E-4</v>
      </c>
      <c r="I12" s="43">
        <f t="shared" si="1"/>
        <v>6.1644767876447874E-3</v>
      </c>
      <c r="J12" s="1">
        <f t="shared" si="15"/>
        <v>1.33E-6</v>
      </c>
      <c r="K12" s="1">
        <f t="shared" si="16"/>
        <v>2.6600000000000001E-4</v>
      </c>
      <c r="L12" s="43">
        <f t="shared" si="2"/>
        <v>2.272370656370656E-2</v>
      </c>
      <c r="M12" s="43">
        <f t="shared" si="3"/>
        <v>1.1077806949806947E-2</v>
      </c>
      <c r="N12" s="43">
        <f t="shared" si="4"/>
        <v>1.5149137709137708E-4</v>
      </c>
      <c r="O12" s="43">
        <f t="shared" si="5"/>
        <v>1.0903898856840032E-2</v>
      </c>
      <c r="P12" s="43">
        <f t="shared" si="6"/>
        <v>12.406141267317736</v>
      </c>
      <c r="Q12" s="43">
        <v>3.36</v>
      </c>
      <c r="R12" s="43">
        <f t="shared" si="7"/>
        <v>4.8872677719736544</v>
      </c>
      <c r="S12" s="43">
        <f t="shared" si="8"/>
        <v>596.49729729729734</v>
      </c>
      <c r="T12" s="43">
        <f t="shared" si="9"/>
        <v>1192.9945945945947</v>
      </c>
      <c r="U12" s="43">
        <f t="shared" si="10"/>
        <v>3.0126126126126121E-3</v>
      </c>
      <c r="V12" s="43">
        <f t="shared" si="11"/>
        <v>1.8936422136422136E-4</v>
      </c>
      <c r="W12" s="43">
        <f t="shared" si="12"/>
        <v>2.1518661518661517E-3</v>
      </c>
      <c r="X12" s="43">
        <f t="shared" si="13"/>
        <v>2.1518661518661518E-12</v>
      </c>
      <c r="Y12" s="205">
        <f t="shared" si="14"/>
        <v>1268.9755879655536</v>
      </c>
    </row>
    <row r="13" spans="1:30">
      <c r="A13" s="45" t="s">
        <v>925</v>
      </c>
      <c r="D13">
        <v>9500</v>
      </c>
      <c r="E13">
        <v>1.5</v>
      </c>
      <c r="F13">
        <v>1</v>
      </c>
      <c r="H13" s="1">
        <f t="shared" si="0"/>
        <v>1.7899999999999999E-4</v>
      </c>
      <c r="I13" s="43">
        <f t="shared" si="1"/>
        <v>6.1644767876447874E-3</v>
      </c>
      <c r="J13" s="1">
        <f t="shared" si="15"/>
        <v>1.33E-6</v>
      </c>
      <c r="K13" s="1">
        <f t="shared" si="16"/>
        <v>2.6600000000000001E-4</v>
      </c>
      <c r="L13" s="43">
        <f t="shared" si="2"/>
        <v>2.272370656370656E-2</v>
      </c>
      <c r="M13" s="43">
        <f t="shared" si="3"/>
        <v>1.1077806949806947E-2</v>
      </c>
      <c r="N13" s="43">
        <f t="shared" si="4"/>
        <v>1.5149137709137708E-4</v>
      </c>
      <c r="O13" s="43">
        <f t="shared" si="5"/>
        <v>1.0903898856840032E-2</v>
      </c>
      <c r="P13" s="43">
        <f t="shared" si="6"/>
        <v>12.406141267317736</v>
      </c>
      <c r="Q13" s="43">
        <v>4.3600000000000003</v>
      </c>
      <c r="R13" s="43">
        <f t="shared" si="7"/>
        <v>4.8872677719736544</v>
      </c>
      <c r="S13" s="43">
        <f t="shared" si="8"/>
        <v>596.49729729729734</v>
      </c>
      <c r="T13" s="43">
        <f t="shared" si="9"/>
        <v>1192.9945945945947</v>
      </c>
      <c r="U13" s="43">
        <f t="shared" si="10"/>
        <v>3.0126126126126121E-3</v>
      </c>
      <c r="V13" s="43">
        <f t="shared" si="11"/>
        <v>1.8936422136422136E-4</v>
      </c>
      <c r="W13" s="43">
        <f t="shared" si="12"/>
        <v>2.1518661518661517E-3</v>
      </c>
      <c r="X13" s="43">
        <f t="shared" si="13"/>
        <v>2.1518661518661518E-12</v>
      </c>
      <c r="Y13" s="205">
        <f t="shared" si="14"/>
        <v>1269.0155879655538</v>
      </c>
      <c r="AC13" s="5"/>
    </row>
    <row r="14" spans="1:30">
      <c r="A14" s="45" t="s">
        <v>926</v>
      </c>
      <c r="D14">
        <v>9500</v>
      </c>
      <c r="E14">
        <v>1.5</v>
      </c>
      <c r="F14">
        <v>1</v>
      </c>
      <c r="H14" s="1">
        <f t="shared" si="0"/>
        <v>1.7899999999999999E-4</v>
      </c>
      <c r="I14" s="43">
        <f t="shared" si="1"/>
        <v>6.1644767876447874E-3</v>
      </c>
      <c r="J14" s="1">
        <f t="shared" si="15"/>
        <v>1.33E-6</v>
      </c>
      <c r="K14" s="1">
        <f t="shared" si="16"/>
        <v>2.6600000000000001E-4</v>
      </c>
      <c r="L14" s="43">
        <f t="shared" si="2"/>
        <v>2.272370656370656E-2</v>
      </c>
      <c r="M14" s="43">
        <f t="shared" si="3"/>
        <v>1.1077806949806947E-2</v>
      </c>
      <c r="N14" s="43">
        <f t="shared" si="4"/>
        <v>1.5149137709137708E-4</v>
      </c>
      <c r="O14" s="43">
        <f t="shared" si="5"/>
        <v>1.0903898856840032E-2</v>
      </c>
      <c r="P14" s="43">
        <f t="shared" si="6"/>
        <v>12.406141267317736</v>
      </c>
      <c r="Q14" s="43">
        <v>5.36</v>
      </c>
      <c r="R14" s="43">
        <f t="shared" si="7"/>
        <v>4.8872677719736544</v>
      </c>
      <c r="S14" s="43">
        <f t="shared" si="8"/>
        <v>596.49729729729734</v>
      </c>
      <c r="T14" s="43">
        <f t="shared" si="9"/>
        <v>1192.9945945945947</v>
      </c>
      <c r="U14" s="43">
        <f t="shared" si="10"/>
        <v>3.0126126126126121E-3</v>
      </c>
      <c r="V14" s="43">
        <f t="shared" si="11"/>
        <v>1.8936422136422136E-4</v>
      </c>
      <c r="W14" s="43">
        <f t="shared" si="12"/>
        <v>2.1518661518661517E-3</v>
      </c>
      <c r="X14" s="43">
        <f t="shared" si="13"/>
        <v>2.1518661518661518E-12</v>
      </c>
      <c r="Y14" s="205">
        <f t="shared" si="14"/>
        <v>1269.0555879655537</v>
      </c>
    </row>
    <row r="15" spans="1:30">
      <c r="A15" s="45" t="s">
        <v>927</v>
      </c>
      <c r="D15">
        <v>9500</v>
      </c>
      <c r="E15">
        <v>1.5</v>
      </c>
      <c r="F15">
        <v>1</v>
      </c>
      <c r="H15" s="1">
        <f t="shared" si="0"/>
        <v>1.7899999999999999E-4</v>
      </c>
      <c r="I15" s="43">
        <f t="shared" si="1"/>
        <v>6.1644767876447874E-3</v>
      </c>
      <c r="J15" s="1">
        <f t="shared" si="15"/>
        <v>1.33E-6</v>
      </c>
      <c r="K15" s="1">
        <f t="shared" si="16"/>
        <v>2.6600000000000001E-4</v>
      </c>
      <c r="L15" s="43">
        <f t="shared" si="2"/>
        <v>2.272370656370656E-2</v>
      </c>
      <c r="M15" s="43">
        <f t="shared" si="3"/>
        <v>1.1077806949806947E-2</v>
      </c>
      <c r="N15" s="43">
        <f t="shared" si="4"/>
        <v>1.5149137709137708E-4</v>
      </c>
      <c r="O15" s="43">
        <f t="shared" si="5"/>
        <v>1.0903898856840032E-2</v>
      </c>
      <c r="P15" s="43">
        <f t="shared" si="6"/>
        <v>12.406141267317736</v>
      </c>
      <c r="Q15" s="43">
        <v>6.36</v>
      </c>
      <c r="R15" s="43">
        <f t="shared" si="7"/>
        <v>4.8872677719736544</v>
      </c>
      <c r="S15" s="43">
        <f t="shared" si="8"/>
        <v>596.49729729729734</v>
      </c>
      <c r="T15" s="43">
        <f t="shared" si="9"/>
        <v>1192.9945945945947</v>
      </c>
      <c r="U15" s="43">
        <f t="shared" si="10"/>
        <v>3.0126126126126121E-3</v>
      </c>
      <c r="V15" s="43">
        <f t="shared" si="11"/>
        <v>1.8936422136422136E-4</v>
      </c>
      <c r="W15" s="43">
        <f t="shared" si="12"/>
        <v>2.1518661518661517E-3</v>
      </c>
      <c r="X15" s="43">
        <f t="shared" si="13"/>
        <v>2.1518661518661518E-12</v>
      </c>
      <c r="Y15" s="205">
        <f t="shared" si="14"/>
        <v>1269.0955879655537</v>
      </c>
    </row>
    <row r="16" spans="1:30">
      <c r="A16" s="45" t="s">
        <v>928</v>
      </c>
      <c r="D16">
        <v>9500</v>
      </c>
      <c r="E16">
        <v>1.5</v>
      </c>
      <c r="F16">
        <v>1</v>
      </c>
      <c r="H16" s="1">
        <f t="shared" si="0"/>
        <v>1.7899999999999999E-4</v>
      </c>
      <c r="I16" s="43">
        <f t="shared" si="1"/>
        <v>6.1644767876447874E-3</v>
      </c>
      <c r="J16" s="1">
        <f t="shared" si="15"/>
        <v>1.33E-6</v>
      </c>
      <c r="K16" s="1">
        <f t="shared" si="16"/>
        <v>2.6600000000000001E-4</v>
      </c>
      <c r="L16" s="43">
        <f t="shared" si="2"/>
        <v>2.272370656370656E-2</v>
      </c>
      <c r="M16" s="43">
        <f t="shared" si="3"/>
        <v>1.1077806949806947E-2</v>
      </c>
      <c r="N16" s="43">
        <f t="shared" si="4"/>
        <v>1.5149137709137708E-4</v>
      </c>
      <c r="O16" s="43">
        <f t="shared" si="5"/>
        <v>1.0903898856840032E-2</v>
      </c>
      <c r="P16" s="43">
        <f t="shared" si="6"/>
        <v>12.406141267317736</v>
      </c>
      <c r="Q16" s="43">
        <v>7.36</v>
      </c>
      <c r="R16" s="43">
        <f t="shared" si="7"/>
        <v>4.8872677719736544</v>
      </c>
      <c r="S16" s="43">
        <f t="shared" si="8"/>
        <v>596.49729729729734</v>
      </c>
      <c r="T16" s="43">
        <f t="shared" si="9"/>
        <v>1192.9945945945947</v>
      </c>
      <c r="U16" s="43">
        <f t="shared" si="10"/>
        <v>3.0126126126126121E-3</v>
      </c>
      <c r="V16" s="43">
        <f t="shared" si="11"/>
        <v>1.8936422136422136E-4</v>
      </c>
      <c r="W16" s="43">
        <f t="shared" si="12"/>
        <v>2.1518661518661517E-3</v>
      </c>
      <c r="X16" s="43">
        <f t="shared" si="13"/>
        <v>2.1518661518661518E-12</v>
      </c>
      <c r="Y16" s="205">
        <f t="shared" si="14"/>
        <v>1269.1355879655537</v>
      </c>
    </row>
    <row r="17" spans="1:29">
      <c r="A17" s="45" t="s">
        <v>929</v>
      </c>
      <c r="D17">
        <v>9500</v>
      </c>
      <c r="E17">
        <v>1.5</v>
      </c>
      <c r="F17">
        <v>1</v>
      </c>
      <c r="H17" s="1">
        <f t="shared" si="0"/>
        <v>1.7899999999999999E-4</v>
      </c>
      <c r="I17" s="43">
        <f t="shared" si="1"/>
        <v>6.1644767876447874E-3</v>
      </c>
      <c r="J17" s="1">
        <f t="shared" si="15"/>
        <v>1.33E-6</v>
      </c>
      <c r="K17" s="1">
        <f t="shared" si="16"/>
        <v>2.6600000000000001E-4</v>
      </c>
      <c r="L17" s="43">
        <f t="shared" si="2"/>
        <v>2.272370656370656E-2</v>
      </c>
      <c r="M17" s="43">
        <f t="shared" si="3"/>
        <v>1.1077806949806947E-2</v>
      </c>
      <c r="N17" s="43">
        <f t="shared" si="4"/>
        <v>1.5149137709137708E-4</v>
      </c>
      <c r="O17" s="43">
        <f t="shared" si="5"/>
        <v>1.0903898856840032E-2</v>
      </c>
      <c r="P17" s="43">
        <f t="shared" si="6"/>
        <v>12.406141267317736</v>
      </c>
      <c r="Q17" s="43">
        <v>8.36</v>
      </c>
      <c r="R17" s="43">
        <f t="shared" si="7"/>
        <v>4.8872677719736544</v>
      </c>
      <c r="S17" s="43">
        <f t="shared" si="8"/>
        <v>596.49729729729734</v>
      </c>
      <c r="T17" s="43">
        <f t="shared" si="9"/>
        <v>1192.9945945945947</v>
      </c>
      <c r="U17" s="43">
        <f t="shared" si="10"/>
        <v>3.0126126126126121E-3</v>
      </c>
      <c r="V17" s="43">
        <f t="shared" si="11"/>
        <v>1.8936422136422136E-4</v>
      </c>
      <c r="W17" s="43">
        <f t="shared" si="12"/>
        <v>2.1518661518661517E-3</v>
      </c>
      <c r="X17" s="43">
        <f t="shared" si="13"/>
        <v>2.1518661518661518E-12</v>
      </c>
      <c r="Y17" s="205">
        <f t="shared" si="14"/>
        <v>1269.1755879655536</v>
      </c>
    </row>
    <row r="18" spans="1:29">
      <c r="A18" s="45" t="s">
        <v>930</v>
      </c>
      <c r="D18">
        <v>9500</v>
      </c>
      <c r="E18">
        <v>1.5</v>
      </c>
      <c r="F18">
        <v>1</v>
      </c>
      <c r="H18" s="1">
        <f t="shared" si="0"/>
        <v>1.7899999999999999E-4</v>
      </c>
      <c r="I18" s="43">
        <f t="shared" si="1"/>
        <v>6.1644767876447874E-3</v>
      </c>
      <c r="J18" s="1">
        <f t="shared" si="15"/>
        <v>1.33E-6</v>
      </c>
      <c r="K18" s="1">
        <f t="shared" si="16"/>
        <v>2.6600000000000001E-4</v>
      </c>
      <c r="L18" s="43">
        <f t="shared" si="2"/>
        <v>2.272370656370656E-2</v>
      </c>
      <c r="M18" s="43">
        <f t="shared" si="3"/>
        <v>1.1077806949806947E-2</v>
      </c>
      <c r="N18" s="43">
        <f t="shared" si="4"/>
        <v>1.5149137709137708E-4</v>
      </c>
      <c r="O18" s="43">
        <f t="shared" si="5"/>
        <v>1.0903898856840032E-2</v>
      </c>
      <c r="P18" s="43">
        <f t="shared" si="6"/>
        <v>12.406141267317736</v>
      </c>
      <c r="Q18" s="43">
        <v>9.36</v>
      </c>
      <c r="R18" s="43">
        <f t="shared" si="7"/>
        <v>4.8872677719736544</v>
      </c>
      <c r="S18" s="43">
        <f t="shared" si="8"/>
        <v>596.49729729729734</v>
      </c>
      <c r="T18" s="43">
        <f t="shared" si="9"/>
        <v>1192.9945945945947</v>
      </c>
      <c r="U18" s="43">
        <f t="shared" si="10"/>
        <v>3.0126126126126121E-3</v>
      </c>
      <c r="V18" s="43">
        <f t="shared" si="11"/>
        <v>1.8936422136422136E-4</v>
      </c>
      <c r="W18" s="43">
        <f t="shared" si="12"/>
        <v>2.1518661518661517E-3</v>
      </c>
      <c r="X18" s="43">
        <f t="shared" si="13"/>
        <v>2.1518661518661518E-12</v>
      </c>
      <c r="Y18" s="205">
        <f t="shared" si="14"/>
        <v>1269.2155879655536</v>
      </c>
    </row>
    <row r="19" spans="1:29">
      <c r="A19" s="132" t="s">
        <v>272</v>
      </c>
      <c r="H19" s="1"/>
      <c r="I19" s="1"/>
      <c r="J19" s="1"/>
      <c r="K19" s="1"/>
      <c r="L19" s="1"/>
      <c r="M19" s="1"/>
      <c r="N19" s="1"/>
      <c r="O19" s="1"/>
      <c r="P19" s="1"/>
      <c r="Q19" s="1"/>
      <c r="R19" s="1"/>
      <c r="S19" s="1"/>
      <c r="T19" s="1"/>
      <c r="U19" s="1"/>
      <c r="V19" s="1"/>
      <c r="W19" s="1"/>
      <c r="X19" s="1"/>
      <c r="Y19" s="197"/>
      <c r="AC19" s="1"/>
    </row>
    <row r="20" spans="1:29">
      <c r="A20" s="48" t="s">
        <v>750</v>
      </c>
      <c r="D20">
        <v>179</v>
      </c>
      <c r="E20">
        <v>1.2</v>
      </c>
      <c r="F20">
        <v>0.04</v>
      </c>
      <c r="H20" s="1">
        <f t="shared" ref="H20:H67" si="17">F20*0.000179</f>
        <v>7.1599999999999992E-6</v>
      </c>
      <c r="I20" s="43">
        <f t="shared" si="1"/>
        <v>1.1615172052509652E-4</v>
      </c>
      <c r="J20" s="1">
        <f t="shared" si="15"/>
        <v>5.32E-8</v>
      </c>
      <c r="K20" s="1">
        <f t="shared" si="16"/>
        <v>1.0640000000000001E-5</v>
      </c>
      <c r="L20" s="43">
        <f t="shared" ref="L20:L51" si="18">CO2_malnutrition_charfact*D20</f>
        <v>4.2816247104247098E-4</v>
      </c>
      <c r="M20" s="43">
        <f t="shared" ref="M20:M51" si="19">CO2_workingcapacity_charfact*D20</f>
        <v>2.0872920463320459E-4</v>
      </c>
      <c r="N20" s="43">
        <f t="shared" ref="N20:N51" si="20">CO2_diarrhea_charfact*D20</f>
        <v>2.8544164736164736E-6</v>
      </c>
      <c r="O20" s="43">
        <f t="shared" ref="O20:O51" si="21">CO2_crop_charfact</f>
        <v>1.0903898856840032E-2</v>
      </c>
      <c r="P20" s="43">
        <f t="shared" ref="P20:P51" si="22">CO2_fruitandveg_charfact*D20</f>
        <v>0.23375781966840786</v>
      </c>
      <c r="Q20" s="43">
        <v>9.36</v>
      </c>
      <c r="R20" s="43">
        <f t="shared" ref="R20:R51" si="23">CO2_meatandfish_charfact*D20</f>
        <v>9.2086413808766754E-2</v>
      </c>
      <c r="S20" s="43">
        <f t="shared" ref="S20:S51" si="24">CO2_drinkingwater_charfact*D20</f>
        <v>11.239264864864865</v>
      </c>
      <c r="T20" s="43">
        <f t="shared" ref="T20:T51" si="25">CO2_irrigationwater_charfact*D20</f>
        <v>22.478529729729729</v>
      </c>
      <c r="U20" s="43">
        <f t="shared" ref="U20:U51" si="26">CO2_energyaccess_charfact*D20</f>
        <v>5.6763963963963954E-5</v>
      </c>
      <c r="V20" s="43">
        <f t="shared" ref="V20:V51" si="27">CO2_housing_charfact*D20</f>
        <v>3.5680205920205919E-6</v>
      </c>
      <c r="W20" s="43">
        <f t="shared" ref="W20:W51" si="28">CO2_separations_charfact*D20</f>
        <v>4.0545688545688543E-5</v>
      </c>
      <c r="X20" s="43">
        <f t="shared" ref="X20:X51" si="29">CO2_NEX_charfact*D20</f>
        <v>4.0545688545688544E-14</v>
      </c>
      <c r="Y20" s="205">
        <f t="shared" ref="Y20:Y51" si="30">(H20+I20)*YOLLvalue+J20*skincancervalue+K20*Lowvisionvalue+L20*malnutrition+M20*working_capacity+N20*diarrhea+O20*cropvalue+P20*Fruitandveg_value+Q20*woodvalue+R20*fishandmeatvalue+S20*drinkingwatervalue+T20*irrigationwatervalue+U20*energy_access+V20*housingvalue+W20*migrationvalue+X20*speciesvalue</f>
        <v>24.521664391990303</v>
      </c>
      <c r="AC20" s="1"/>
    </row>
    <row r="21" spans="1:29">
      <c r="A21" s="48" t="s">
        <v>273</v>
      </c>
      <c r="D21">
        <v>2106</v>
      </c>
      <c r="E21">
        <v>1.2</v>
      </c>
      <c r="F21">
        <v>5.5E-2</v>
      </c>
      <c r="H21" s="1">
        <f t="shared" si="17"/>
        <v>9.8449999999999998E-6</v>
      </c>
      <c r="I21" s="43">
        <f t="shared" si="1"/>
        <v>1.3665671699768338E-3</v>
      </c>
      <c r="J21" s="1">
        <f t="shared" si="15"/>
        <v>7.3150000000000003E-8</v>
      </c>
      <c r="K21" s="1">
        <f t="shared" si="16"/>
        <v>1.4630000000000001E-5</v>
      </c>
      <c r="L21" s="43">
        <f t="shared" si="18"/>
        <v>5.0374869498069491E-3</v>
      </c>
      <c r="M21" s="43">
        <f t="shared" si="19"/>
        <v>2.4557748880308875E-3</v>
      </c>
      <c r="N21" s="43">
        <f t="shared" si="20"/>
        <v>3.3583246332046327E-5</v>
      </c>
      <c r="O21" s="43">
        <f t="shared" si="21"/>
        <v>1.0903898856840032E-2</v>
      </c>
      <c r="P21" s="43">
        <f t="shared" si="22"/>
        <v>2.7502456325232791</v>
      </c>
      <c r="Q21" s="43">
        <v>10.36</v>
      </c>
      <c r="R21" s="43">
        <f t="shared" si="23"/>
        <v>1.0834300976606859</v>
      </c>
      <c r="S21" s="43">
        <f t="shared" si="24"/>
        <v>132.23403243243243</v>
      </c>
      <c r="T21" s="43">
        <f t="shared" si="25"/>
        <v>264.46806486486486</v>
      </c>
      <c r="U21" s="43">
        <f t="shared" si="26"/>
        <v>6.6784864864864854E-4</v>
      </c>
      <c r="V21" s="43">
        <f t="shared" si="27"/>
        <v>4.1979057915057914E-5</v>
      </c>
      <c r="W21" s="43">
        <f t="shared" si="28"/>
        <v>4.7703474903474898E-4</v>
      </c>
      <c r="X21" s="43">
        <f t="shared" si="29"/>
        <v>4.7703474903474894E-13</v>
      </c>
      <c r="Y21" s="205">
        <f t="shared" si="30"/>
        <v>279.82907319706823</v>
      </c>
    </row>
    <row r="22" spans="1:29">
      <c r="A22" s="45" t="s">
        <v>967</v>
      </c>
      <c r="D22">
        <v>700</v>
      </c>
      <c r="F22" s="45">
        <v>0.02</v>
      </c>
      <c r="H22" s="1">
        <f t="shared" si="17"/>
        <v>3.5799999999999996E-6</v>
      </c>
      <c r="I22" s="43">
        <f t="shared" si="1"/>
        <v>4.5422460540540537E-4</v>
      </c>
      <c r="J22" s="1">
        <f t="shared" si="15"/>
        <v>2.66E-8</v>
      </c>
      <c r="K22" s="1">
        <f t="shared" si="16"/>
        <v>5.3200000000000007E-6</v>
      </c>
      <c r="L22" s="43">
        <f t="shared" si="18"/>
        <v>1.6743783783783781E-3</v>
      </c>
      <c r="M22" s="43">
        <f t="shared" si="19"/>
        <v>8.1625945945945936E-4</v>
      </c>
      <c r="N22" s="43">
        <f t="shared" si="20"/>
        <v>1.1162522522522522E-5</v>
      </c>
      <c r="O22" s="43">
        <f t="shared" si="21"/>
        <v>1.0903898856840032E-2</v>
      </c>
      <c r="P22" s="43">
        <f t="shared" si="22"/>
        <v>0.91413672496025422</v>
      </c>
      <c r="Q22" s="43">
        <v>11.36</v>
      </c>
      <c r="R22" s="43">
        <f t="shared" si="23"/>
        <v>0.36011446740858505</v>
      </c>
      <c r="S22" s="43">
        <f t="shared" si="24"/>
        <v>43.952432432432431</v>
      </c>
      <c r="T22" s="43">
        <f t="shared" si="25"/>
        <v>87.904864864864862</v>
      </c>
      <c r="U22" s="43">
        <f t="shared" si="26"/>
        <v>2.2198198198198195E-4</v>
      </c>
      <c r="V22" s="43">
        <f t="shared" si="27"/>
        <v>1.3953153153153152E-5</v>
      </c>
      <c r="W22" s="43">
        <f t="shared" si="28"/>
        <v>1.5855855855855853E-4</v>
      </c>
      <c r="X22" s="43">
        <f t="shared" si="29"/>
        <v>1.5855855855855853E-13</v>
      </c>
      <c r="Y22" s="205">
        <f t="shared" si="30"/>
        <v>93.348151134113124</v>
      </c>
    </row>
    <row r="23" spans="1:29">
      <c r="A23" t="s">
        <v>968</v>
      </c>
      <c r="D23">
        <v>700</v>
      </c>
      <c r="F23" s="45">
        <v>2.5000000000000001E-2</v>
      </c>
      <c r="G23">
        <v>1.5</v>
      </c>
      <c r="H23" s="1">
        <f t="shared" si="17"/>
        <v>4.4749999999999995E-6</v>
      </c>
      <c r="I23" s="43">
        <f t="shared" si="1"/>
        <v>4.5422460540540537E-4</v>
      </c>
      <c r="J23" s="1">
        <f t="shared" si="15"/>
        <v>3.3250000000000003E-8</v>
      </c>
      <c r="K23" s="1">
        <f t="shared" si="16"/>
        <v>6.6500000000000007E-6</v>
      </c>
      <c r="L23" s="43">
        <f t="shared" si="18"/>
        <v>1.6743783783783781E-3</v>
      </c>
      <c r="M23" s="43">
        <f t="shared" si="19"/>
        <v>8.1625945945945936E-4</v>
      </c>
      <c r="N23" s="43">
        <f t="shared" si="20"/>
        <v>1.1162522522522522E-5</v>
      </c>
      <c r="O23" s="43">
        <f t="shared" si="21"/>
        <v>1.0903898856840032E-2</v>
      </c>
      <c r="P23" s="43">
        <f t="shared" si="22"/>
        <v>0.91413672496025422</v>
      </c>
      <c r="Q23" s="43">
        <v>12.36</v>
      </c>
      <c r="R23" s="43">
        <f t="shared" si="23"/>
        <v>0.36011446740858505</v>
      </c>
      <c r="S23" s="43">
        <f t="shared" si="24"/>
        <v>43.952432432432431</v>
      </c>
      <c r="T23" s="43">
        <f t="shared" si="25"/>
        <v>87.904864864864862</v>
      </c>
      <c r="U23" s="43">
        <f t="shared" si="26"/>
        <v>2.2198198198198195E-4</v>
      </c>
      <c r="V23" s="43">
        <f t="shared" si="27"/>
        <v>1.3953153153153152E-5</v>
      </c>
      <c r="W23" s="43">
        <f t="shared" si="28"/>
        <v>1.5855855855855853E-4</v>
      </c>
      <c r="X23" s="43">
        <f t="shared" si="29"/>
        <v>1.5855855855855853E-13</v>
      </c>
      <c r="Y23" s="205">
        <f t="shared" si="30"/>
        <v>93.444222759113103</v>
      </c>
    </row>
    <row r="24" spans="1:29">
      <c r="A24" t="s">
        <v>751</v>
      </c>
      <c r="D24">
        <v>72</v>
      </c>
      <c r="E24">
        <v>1.2</v>
      </c>
      <c r="F24">
        <v>0.05</v>
      </c>
      <c r="G24">
        <v>1.5</v>
      </c>
      <c r="H24" s="1">
        <f t="shared" si="17"/>
        <v>8.949999999999999E-6</v>
      </c>
      <c r="I24" s="43">
        <f t="shared" si="1"/>
        <v>4.6720245127413125E-5</v>
      </c>
      <c r="J24" s="1">
        <f t="shared" si="15"/>
        <v>6.6500000000000007E-8</v>
      </c>
      <c r="K24" s="1">
        <f t="shared" si="16"/>
        <v>1.3300000000000001E-5</v>
      </c>
      <c r="L24" s="43">
        <f t="shared" si="18"/>
        <v>1.7222177606177603E-4</v>
      </c>
      <c r="M24" s="43">
        <f t="shared" si="19"/>
        <v>8.3958115830115815E-5</v>
      </c>
      <c r="N24" s="43">
        <f t="shared" si="20"/>
        <v>1.1481451737451738E-6</v>
      </c>
      <c r="O24" s="43">
        <f t="shared" si="21"/>
        <v>1.0903898856840032E-2</v>
      </c>
      <c r="P24" s="43">
        <f t="shared" si="22"/>
        <v>9.402549171019757E-2</v>
      </c>
      <c r="Q24" s="43">
        <v>13.36</v>
      </c>
      <c r="R24" s="43">
        <f t="shared" si="23"/>
        <v>3.7040345219168748E-2</v>
      </c>
      <c r="S24" s="43">
        <f t="shared" si="24"/>
        <v>4.5208216216216215</v>
      </c>
      <c r="T24" s="43">
        <f t="shared" si="25"/>
        <v>9.041643243243243</v>
      </c>
      <c r="U24" s="43">
        <f t="shared" si="26"/>
        <v>2.283243243243243E-5</v>
      </c>
      <c r="V24" s="43">
        <f t="shared" si="27"/>
        <v>1.4351814671814671E-6</v>
      </c>
      <c r="W24" s="43">
        <f t="shared" si="28"/>
        <v>1.6308880308880306E-5</v>
      </c>
      <c r="X24" s="43">
        <f t="shared" si="29"/>
        <v>1.6308880308880307E-14</v>
      </c>
      <c r="Y24" s="205">
        <f t="shared" si="30"/>
        <v>10.62898473046029</v>
      </c>
    </row>
    <row r="25" spans="1:29">
      <c r="A25" s="45" t="s">
        <v>753</v>
      </c>
      <c r="D25">
        <v>312</v>
      </c>
      <c r="E25">
        <v>1.2</v>
      </c>
      <c r="F25">
        <v>0.05</v>
      </c>
      <c r="G25">
        <v>2</v>
      </c>
      <c r="H25" s="1">
        <f t="shared" si="17"/>
        <v>8.949999999999999E-6</v>
      </c>
      <c r="I25" s="43">
        <f t="shared" si="1"/>
        <v>2.0245439555212352E-4</v>
      </c>
      <c r="J25" s="1">
        <f t="shared" si="15"/>
        <v>6.6500000000000007E-8</v>
      </c>
      <c r="K25" s="1">
        <f t="shared" si="16"/>
        <v>1.3300000000000001E-5</v>
      </c>
      <c r="L25" s="43">
        <f t="shared" si="18"/>
        <v>7.4629436293436279E-4</v>
      </c>
      <c r="M25" s="43">
        <f t="shared" si="19"/>
        <v>3.6381850193050185E-4</v>
      </c>
      <c r="N25" s="43">
        <f t="shared" si="20"/>
        <v>4.9752957528957529E-6</v>
      </c>
      <c r="O25" s="43">
        <f t="shared" si="21"/>
        <v>1.0903898856840032E-2</v>
      </c>
      <c r="P25" s="43">
        <f t="shared" si="22"/>
        <v>0.40744379741085618</v>
      </c>
      <c r="Q25" s="43">
        <v>14.36</v>
      </c>
      <c r="R25" s="43">
        <f t="shared" si="23"/>
        <v>0.16050816261639791</v>
      </c>
      <c r="S25" s="43">
        <f t="shared" si="24"/>
        <v>19.590227027027026</v>
      </c>
      <c r="T25" s="43">
        <f t="shared" si="25"/>
        <v>39.180454054054053</v>
      </c>
      <c r="U25" s="43">
        <f t="shared" si="26"/>
        <v>9.8940540540540521E-5</v>
      </c>
      <c r="V25" s="43">
        <f t="shared" si="27"/>
        <v>6.2191196911196907E-6</v>
      </c>
      <c r="W25" s="43">
        <f t="shared" si="28"/>
        <v>7.0671814671814656E-5</v>
      </c>
      <c r="X25" s="43">
        <f t="shared" si="29"/>
        <v>7.0671814671814664E-14</v>
      </c>
      <c r="Y25" s="205">
        <f t="shared" si="30"/>
        <v>42.440550139499578</v>
      </c>
    </row>
    <row r="26" spans="1:29">
      <c r="A26" s="48" t="s">
        <v>752</v>
      </c>
      <c r="D26">
        <v>96</v>
      </c>
      <c r="E26">
        <v>1.2</v>
      </c>
      <c r="F26">
        <v>0.04</v>
      </c>
      <c r="G26">
        <v>1.5</v>
      </c>
      <c r="H26" s="1">
        <f t="shared" si="17"/>
        <v>7.1599999999999992E-6</v>
      </c>
      <c r="I26" s="43">
        <f t="shared" si="1"/>
        <v>6.2293660169884167E-5</v>
      </c>
      <c r="J26" s="1">
        <f t="shared" si="15"/>
        <v>5.32E-8</v>
      </c>
      <c r="K26" s="1">
        <f t="shared" si="16"/>
        <v>1.0640000000000001E-5</v>
      </c>
      <c r="L26" s="43">
        <f t="shared" si="18"/>
        <v>2.2962903474903472E-4</v>
      </c>
      <c r="M26" s="43">
        <f t="shared" si="19"/>
        <v>1.1194415444015443E-4</v>
      </c>
      <c r="N26" s="43">
        <f t="shared" si="20"/>
        <v>1.5308602316602316E-6</v>
      </c>
      <c r="O26" s="43">
        <f t="shared" si="21"/>
        <v>1.0903898856840032E-2</v>
      </c>
      <c r="P26" s="43">
        <f t="shared" si="22"/>
        <v>0.12536732228026343</v>
      </c>
      <c r="Q26" s="43">
        <v>15.36</v>
      </c>
      <c r="R26" s="43">
        <f t="shared" si="23"/>
        <v>4.9387126958891664E-2</v>
      </c>
      <c r="S26" s="43">
        <f t="shared" si="24"/>
        <v>6.027762162162162</v>
      </c>
      <c r="T26" s="43">
        <f t="shared" si="25"/>
        <v>12.055524324324324</v>
      </c>
      <c r="U26" s="43">
        <f t="shared" si="26"/>
        <v>3.0443243243243239E-5</v>
      </c>
      <c r="V26" s="43">
        <f t="shared" si="27"/>
        <v>1.9135752895752893E-6</v>
      </c>
      <c r="W26" s="43">
        <f t="shared" si="28"/>
        <v>2.1745173745173741E-5</v>
      </c>
      <c r="X26" s="43">
        <f t="shared" si="29"/>
        <v>2.1745173745173744E-14</v>
      </c>
      <c r="Y26" s="205">
        <f t="shared" si="30"/>
        <v>13.773998021364219</v>
      </c>
    </row>
    <row r="27" spans="1:29">
      <c r="A27" t="s">
        <v>755</v>
      </c>
      <c r="D27">
        <v>447</v>
      </c>
      <c r="E27">
        <v>1.2</v>
      </c>
      <c r="F27">
        <v>0.04</v>
      </c>
      <c r="G27">
        <v>2</v>
      </c>
      <c r="H27" s="1">
        <f t="shared" si="17"/>
        <v>7.1599999999999992E-6</v>
      </c>
      <c r="I27" s="43">
        <f t="shared" si="1"/>
        <v>2.9005485516602316E-4</v>
      </c>
      <c r="J27" s="1">
        <f t="shared" si="15"/>
        <v>5.32E-8</v>
      </c>
      <c r="K27" s="1">
        <f t="shared" si="16"/>
        <v>1.0640000000000001E-5</v>
      </c>
      <c r="L27" s="43">
        <f t="shared" si="18"/>
        <v>1.0692101930501929E-3</v>
      </c>
      <c r="M27" s="43">
        <f t="shared" si="19"/>
        <v>5.2123996911196901E-4</v>
      </c>
      <c r="N27" s="43">
        <f t="shared" si="20"/>
        <v>7.1280679536679529E-6</v>
      </c>
      <c r="O27" s="43">
        <f t="shared" si="21"/>
        <v>1.0903898856840032E-2</v>
      </c>
      <c r="P27" s="43">
        <f t="shared" si="22"/>
        <v>0.58374159436747663</v>
      </c>
      <c r="Q27" s="43">
        <v>16.36</v>
      </c>
      <c r="R27" s="43">
        <f t="shared" si="23"/>
        <v>0.22995880990233933</v>
      </c>
      <c r="S27" s="43">
        <f t="shared" si="24"/>
        <v>28.066767567567567</v>
      </c>
      <c r="T27" s="43">
        <f t="shared" si="25"/>
        <v>56.133535135135133</v>
      </c>
      <c r="U27" s="43">
        <f t="shared" si="26"/>
        <v>1.4175135135135133E-4</v>
      </c>
      <c r="V27" s="43">
        <f t="shared" si="27"/>
        <v>8.9100849420849407E-6</v>
      </c>
      <c r="W27" s="43">
        <f t="shared" si="28"/>
        <v>1.0125096525096524E-4</v>
      </c>
      <c r="X27" s="43">
        <f t="shared" si="29"/>
        <v>1.0125096525096524E-13</v>
      </c>
      <c r="Y27" s="205">
        <f t="shared" si="30"/>
        <v>60.279912432084174</v>
      </c>
    </row>
    <row r="28" spans="1:29">
      <c r="A28" s="49" t="s">
        <v>754</v>
      </c>
      <c r="D28">
        <v>635</v>
      </c>
      <c r="E28">
        <v>1.2</v>
      </c>
      <c r="F28">
        <v>0.03</v>
      </c>
      <c r="G28">
        <v>1.3</v>
      </c>
      <c r="H28" s="1">
        <f t="shared" si="17"/>
        <v>5.3699999999999994E-6</v>
      </c>
      <c r="I28" s="43">
        <f t="shared" si="1"/>
        <v>4.1204660633204632E-4</v>
      </c>
      <c r="J28" s="1">
        <f t="shared" si="15"/>
        <v>3.99E-8</v>
      </c>
      <c r="K28" s="1">
        <f t="shared" si="16"/>
        <v>7.9799999999999998E-6</v>
      </c>
      <c r="L28" s="43">
        <f t="shared" si="18"/>
        <v>1.5189003861003859E-3</v>
      </c>
      <c r="M28" s="43">
        <f t="shared" si="19"/>
        <v>7.4046393822393812E-4</v>
      </c>
      <c r="N28" s="43">
        <f t="shared" si="20"/>
        <v>1.0126002574002573E-5</v>
      </c>
      <c r="O28" s="43">
        <f t="shared" si="21"/>
        <v>1.0903898856840032E-2</v>
      </c>
      <c r="P28" s="43">
        <f t="shared" si="22"/>
        <v>0.82925260049965921</v>
      </c>
      <c r="Q28" s="43">
        <v>17.36</v>
      </c>
      <c r="R28" s="43">
        <f t="shared" si="23"/>
        <v>0.32667526686350218</v>
      </c>
      <c r="S28" s="43">
        <f t="shared" si="24"/>
        <v>39.871135135135134</v>
      </c>
      <c r="T28" s="43">
        <f t="shared" si="25"/>
        <v>79.742270270270268</v>
      </c>
      <c r="U28" s="43">
        <f t="shared" si="26"/>
        <v>2.0136936936936934E-4</v>
      </c>
      <c r="V28" s="43">
        <f t="shared" si="27"/>
        <v>1.2657503217503216E-5</v>
      </c>
      <c r="W28" s="43">
        <f t="shared" si="28"/>
        <v>1.4383526383526381E-4</v>
      </c>
      <c r="X28" s="43">
        <f t="shared" si="29"/>
        <v>1.4383526383526382E-13</v>
      </c>
      <c r="Y28" s="205">
        <f t="shared" si="30"/>
        <v>85.095495419164976</v>
      </c>
    </row>
    <row r="29" spans="1:29">
      <c r="A29" s="49" t="s">
        <v>969</v>
      </c>
      <c r="D29">
        <v>700</v>
      </c>
      <c r="F29">
        <v>2.8000000000000001E-2</v>
      </c>
      <c r="G29">
        <v>2</v>
      </c>
      <c r="H29" s="1">
        <f t="shared" si="17"/>
        <v>5.0119999999999996E-6</v>
      </c>
      <c r="I29" s="43">
        <f t="shared" si="1"/>
        <v>4.5422460540540537E-4</v>
      </c>
      <c r="J29" s="1">
        <f t="shared" si="15"/>
        <v>3.7240000000000001E-8</v>
      </c>
      <c r="K29" s="1">
        <f t="shared" si="16"/>
        <v>7.4480000000000005E-6</v>
      </c>
      <c r="L29" s="43">
        <f t="shared" si="18"/>
        <v>1.6743783783783781E-3</v>
      </c>
      <c r="M29" s="43">
        <f t="shared" si="19"/>
        <v>8.1625945945945936E-4</v>
      </c>
      <c r="N29" s="43">
        <f t="shared" si="20"/>
        <v>1.1162522522522522E-5</v>
      </c>
      <c r="O29" s="43">
        <f t="shared" si="21"/>
        <v>1.0903898856840032E-2</v>
      </c>
      <c r="P29" s="43">
        <f t="shared" si="22"/>
        <v>0.91413672496025422</v>
      </c>
      <c r="Q29" s="43">
        <v>18.36</v>
      </c>
      <c r="R29" s="43">
        <f t="shared" si="23"/>
        <v>0.36011446740858505</v>
      </c>
      <c r="S29" s="43">
        <f t="shared" si="24"/>
        <v>43.952432432432431</v>
      </c>
      <c r="T29" s="43">
        <f t="shared" si="25"/>
        <v>87.904864864864862</v>
      </c>
      <c r="U29" s="43">
        <f t="shared" si="26"/>
        <v>2.2198198198198195E-4</v>
      </c>
      <c r="V29" s="43">
        <f t="shared" si="27"/>
        <v>1.3953153153153152E-5</v>
      </c>
      <c r="W29" s="43">
        <f t="shared" si="28"/>
        <v>1.5855855855855853E-4</v>
      </c>
      <c r="X29" s="43">
        <f t="shared" si="29"/>
        <v>1.5855855855855853E-13</v>
      </c>
      <c r="Y29" s="205">
        <f t="shared" si="30"/>
        <v>93.717865734113104</v>
      </c>
    </row>
    <row r="30" spans="1:29">
      <c r="A30" t="s">
        <v>756</v>
      </c>
      <c r="D30">
        <v>409</v>
      </c>
      <c r="E30">
        <v>1.2</v>
      </c>
      <c r="F30">
        <v>2.9000000000000001E-2</v>
      </c>
      <c r="G30">
        <v>2</v>
      </c>
      <c r="H30" s="1">
        <f t="shared" si="17"/>
        <v>5.1909999999999999E-6</v>
      </c>
      <c r="I30" s="43">
        <f t="shared" si="1"/>
        <v>2.6539694801544397E-4</v>
      </c>
      <c r="J30" s="1">
        <f t="shared" si="15"/>
        <v>3.8570000000000001E-8</v>
      </c>
      <c r="K30" s="1">
        <f t="shared" si="16"/>
        <v>7.714000000000001E-6</v>
      </c>
      <c r="L30" s="43">
        <f t="shared" si="18"/>
        <v>9.7831536679536665E-4</v>
      </c>
      <c r="M30" s="43">
        <f t="shared" si="19"/>
        <v>4.7692874131274123E-4</v>
      </c>
      <c r="N30" s="43">
        <f t="shared" si="20"/>
        <v>6.522102445302445E-6</v>
      </c>
      <c r="O30" s="43">
        <f t="shared" si="21"/>
        <v>1.0903898856840032E-2</v>
      </c>
      <c r="P30" s="43">
        <f t="shared" si="22"/>
        <v>0.5341170292982057</v>
      </c>
      <c r="Q30" s="43">
        <v>19.36</v>
      </c>
      <c r="R30" s="43">
        <f t="shared" si="23"/>
        <v>0.21040973881444472</v>
      </c>
      <c r="S30" s="43">
        <f t="shared" si="24"/>
        <v>25.680778378378378</v>
      </c>
      <c r="T30" s="43">
        <f t="shared" si="25"/>
        <v>51.361556756756755</v>
      </c>
      <c r="U30" s="43">
        <f t="shared" si="26"/>
        <v>1.2970090090090087E-4</v>
      </c>
      <c r="V30" s="43">
        <f t="shared" si="27"/>
        <v>8.1526280566280561E-6</v>
      </c>
      <c r="W30" s="43">
        <f t="shared" si="28"/>
        <v>9.2643500643500628E-5</v>
      </c>
      <c r="X30" s="43">
        <f t="shared" si="29"/>
        <v>9.2643500643500634E-14</v>
      </c>
      <c r="Y30" s="205">
        <f t="shared" si="30"/>
        <v>55.246057000652961</v>
      </c>
    </row>
    <row r="31" spans="1:29">
      <c r="A31" s="45" t="s">
        <v>970</v>
      </c>
      <c r="D31">
        <v>700</v>
      </c>
      <c r="F31">
        <v>0.04</v>
      </c>
      <c r="G31">
        <v>1.5</v>
      </c>
      <c r="H31" s="1">
        <f t="shared" si="17"/>
        <v>7.1599999999999992E-6</v>
      </c>
      <c r="I31" s="43">
        <f t="shared" si="1"/>
        <v>4.5422460540540537E-4</v>
      </c>
      <c r="J31" s="1">
        <f t="shared" si="15"/>
        <v>5.32E-8</v>
      </c>
      <c r="K31" s="1">
        <f t="shared" si="16"/>
        <v>1.0640000000000001E-5</v>
      </c>
      <c r="L31" s="43">
        <f t="shared" si="18"/>
        <v>1.6743783783783781E-3</v>
      </c>
      <c r="M31" s="43">
        <f t="shared" si="19"/>
        <v>8.1625945945945936E-4</v>
      </c>
      <c r="N31" s="43">
        <f t="shared" si="20"/>
        <v>1.1162522522522522E-5</v>
      </c>
      <c r="O31" s="43">
        <f t="shared" si="21"/>
        <v>1.0903898856840032E-2</v>
      </c>
      <c r="P31" s="43">
        <f t="shared" si="22"/>
        <v>0.91413672496025422</v>
      </c>
      <c r="Q31" s="43">
        <v>20.36</v>
      </c>
      <c r="R31" s="43">
        <f t="shared" si="23"/>
        <v>0.36011446740858505</v>
      </c>
      <c r="S31" s="43">
        <f t="shared" si="24"/>
        <v>43.952432432432431</v>
      </c>
      <c r="T31" s="43">
        <f t="shared" si="25"/>
        <v>87.904864864864862</v>
      </c>
      <c r="U31" s="43">
        <f t="shared" si="26"/>
        <v>2.2198198198198195E-4</v>
      </c>
      <c r="V31" s="43">
        <f t="shared" si="27"/>
        <v>1.3953153153153152E-5</v>
      </c>
      <c r="W31" s="43">
        <f t="shared" si="28"/>
        <v>1.5855855855855853E-4</v>
      </c>
      <c r="X31" s="43">
        <f t="shared" si="29"/>
        <v>1.5855855855855853E-13</v>
      </c>
      <c r="Y31" s="205">
        <f t="shared" si="30"/>
        <v>93.932437634113114</v>
      </c>
    </row>
    <row r="32" spans="1:29">
      <c r="A32" s="45" t="s">
        <v>971</v>
      </c>
      <c r="D32">
        <v>700</v>
      </c>
      <c r="F32">
        <v>3.6999999999999998E-2</v>
      </c>
      <c r="G32">
        <v>2.5</v>
      </c>
      <c r="H32" s="1">
        <f t="shared" si="17"/>
        <v>6.6229999999999991E-6</v>
      </c>
      <c r="I32" s="43">
        <f t="shared" si="1"/>
        <v>4.5422460540540537E-4</v>
      </c>
      <c r="J32" s="1">
        <f t="shared" si="15"/>
        <v>4.9209999999999995E-8</v>
      </c>
      <c r="K32" s="1">
        <f t="shared" si="16"/>
        <v>9.842E-6</v>
      </c>
      <c r="L32" s="43">
        <f t="shared" si="18"/>
        <v>1.6743783783783781E-3</v>
      </c>
      <c r="M32" s="43">
        <f t="shared" si="19"/>
        <v>8.1625945945945936E-4</v>
      </c>
      <c r="N32" s="43">
        <f t="shared" si="20"/>
        <v>1.1162522522522522E-5</v>
      </c>
      <c r="O32" s="43">
        <f t="shared" si="21"/>
        <v>1.0903898856840032E-2</v>
      </c>
      <c r="P32" s="43">
        <f t="shared" si="22"/>
        <v>0.91413672496025422</v>
      </c>
      <c r="Q32" s="43">
        <v>21.36</v>
      </c>
      <c r="R32" s="43">
        <f t="shared" si="23"/>
        <v>0.36011446740858505</v>
      </c>
      <c r="S32" s="43">
        <f t="shared" si="24"/>
        <v>43.952432432432431</v>
      </c>
      <c r="T32" s="43">
        <f t="shared" si="25"/>
        <v>87.904864864864862</v>
      </c>
      <c r="U32" s="43">
        <f t="shared" si="26"/>
        <v>2.2198198198198195E-4</v>
      </c>
      <c r="V32" s="43">
        <f t="shared" si="27"/>
        <v>1.3953153153153152E-5</v>
      </c>
      <c r="W32" s="43">
        <f t="shared" si="28"/>
        <v>1.5855855855855853E-4</v>
      </c>
      <c r="X32" s="43">
        <f t="shared" si="29"/>
        <v>1.5855855855855853E-13</v>
      </c>
      <c r="Y32" s="205">
        <f t="shared" si="30"/>
        <v>93.9387946591131</v>
      </c>
    </row>
    <row r="33" spans="1:25">
      <c r="A33" s="45" t="s">
        <v>757</v>
      </c>
      <c r="D33">
        <v>938</v>
      </c>
      <c r="E33">
        <v>1.2</v>
      </c>
      <c r="F33">
        <v>0.11</v>
      </c>
      <c r="G33">
        <v>1.1000000000000001</v>
      </c>
      <c r="H33" s="1">
        <f t="shared" si="17"/>
        <v>1.969E-5</v>
      </c>
      <c r="I33" s="43">
        <f t="shared" si="1"/>
        <v>6.0866097124324318E-4</v>
      </c>
      <c r="J33" s="1">
        <f t="shared" si="15"/>
        <v>1.4630000000000001E-7</v>
      </c>
      <c r="K33" s="1">
        <f t="shared" si="16"/>
        <v>2.9260000000000001E-5</v>
      </c>
      <c r="L33" s="43">
        <f t="shared" si="18"/>
        <v>2.2436670270270269E-3</v>
      </c>
      <c r="M33" s="43">
        <f t="shared" si="19"/>
        <v>1.0937876756756755E-3</v>
      </c>
      <c r="N33" s="43">
        <f t="shared" si="20"/>
        <v>1.4957780180180179E-5</v>
      </c>
      <c r="O33" s="43">
        <f t="shared" si="21"/>
        <v>1.0903898856840032E-2</v>
      </c>
      <c r="P33" s="43">
        <f t="shared" si="22"/>
        <v>1.2249432114467407</v>
      </c>
      <c r="Q33" s="43">
        <v>22.36</v>
      </c>
      <c r="R33" s="43">
        <f t="shared" si="23"/>
        <v>0.482553386327504</v>
      </c>
      <c r="S33" s="43">
        <f t="shared" si="24"/>
        <v>58.896259459459458</v>
      </c>
      <c r="T33" s="43">
        <f t="shared" si="25"/>
        <v>117.79251891891892</v>
      </c>
      <c r="U33" s="43">
        <f t="shared" si="26"/>
        <v>2.9745585585585582E-4</v>
      </c>
      <c r="V33" s="43">
        <f t="shared" si="27"/>
        <v>1.8697225225225223E-5</v>
      </c>
      <c r="W33" s="43">
        <f t="shared" si="28"/>
        <v>2.1246846846846844E-4</v>
      </c>
      <c r="X33" s="43">
        <f t="shared" si="29"/>
        <v>2.1246846846846844E-13</v>
      </c>
      <c r="Y33" s="205">
        <f t="shared" si="30"/>
        <v>126.30424274807706</v>
      </c>
    </row>
    <row r="34" spans="1:25">
      <c r="A34" s="45" t="s">
        <v>972</v>
      </c>
      <c r="D34">
        <v>700</v>
      </c>
      <c r="F34">
        <v>3.9E-2</v>
      </c>
      <c r="G34">
        <v>2</v>
      </c>
      <c r="H34" s="1">
        <f t="shared" si="17"/>
        <v>6.9809999999999997E-6</v>
      </c>
      <c r="I34" s="43">
        <f t="shared" si="1"/>
        <v>4.5422460540540537E-4</v>
      </c>
      <c r="J34" s="1">
        <f t="shared" si="15"/>
        <v>5.1870000000000001E-8</v>
      </c>
      <c r="K34" s="1">
        <f t="shared" si="16"/>
        <v>1.0374000000000001E-5</v>
      </c>
      <c r="L34" s="43">
        <f t="shared" si="18"/>
        <v>1.6743783783783781E-3</v>
      </c>
      <c r="M34" s="43">
        <f t="shared" si="19"/>
        <v>8.1625945945945936E-4</v>
      </c>
      <c r="N34" s="43">
        <f t="shared" si="20"/>
        <v>1.1162522522522522E-5</v>
      </c>
      <c r="O34" s="43">
        <f t="shared" si="21"/>
        <v>1.0903898856840032E-2</v>
      </c>
      <c r="P34" s="43">
        <f t="shared" si="22"/>
        <v>0.91413672496025422</v>
      </c>
      <c r="Q34" s="43">
        <v>23.36</v>
      </c>
      <c r="R34" s="43">
        <f t="shared" si="23"/>
        <v>0.36011446740858505</v>
      </c>
      <c r="S34" s="43">
        <f t="shared" si="24"/>
        <v>43.952432432432431</v>
      </c>
      <c r="T34" s="43">
        <f t="shared" si="25"/>
        <v>87.904864864864862</v>
      </c>
      <c r="U34" s="43">
        <f t="shared" si="26"/>
        <v>2.2198198198198195E-4</v>
      </c>
      <c r="V34" s="43">
        <f t="shared" si="27"/>
        <v>1.3953153153153152E-5</v>
      </c>
      <c r="W34" s="43">
        <f t="shared" si="28"/>
        <v>1.5855855855855853E-4</v>
      </c>
      <c r="X34" s="43">
        <f t="shared" si="29"/>
        <v>1.5855855855855853E-13</v>
      </c>
      <c r="Y34" s="205">
        <f t="shared" si="30"/>
        <v>94.041223309113107</v>
      </c>
    </row>
    <row r="35" spans="1:25">
      <c r="A35" t="s">
        <v>758</v>
      </c>
      <c r="D35">
        <v>2345</v>
      </c>
      <c r="E35">
        <v>1.2</v>
      </c>
      <c r="F35">
        <v>6.5000000000000002E-2</v>
      </c>
      <c r="G35">
        <v>1.1000000000000001</v>
      </c>
      <c r="H35" s="1">
        <f t="shared" si="17"/>
        <v>1.1635E-5</v>
      </c>
      <c r="I35" s="43">
        <f t="shared" si="1"/>
        <v>1.5216524281081081E-3</v>
      </c>
      <c r="J35" s="1">
        <f t="shared" si="15"/>
        <v>8.6449999999999997E-8</v>
      </c>
      <c r="K35" s="1">
        <f t="shared" si="16"/>
        <v>1.7290000000000002E-5</v>
      </c>
      <c r="L35" s="43">
        <f t="shared" si="18"/>
        <v>5.6091675675675667E-3</v>
      </c>
      <c r="M35" s="43">
        <f t="shared" si="19"/>
        <v>2.7344691891891888E-3</v>
      </c>
      <c r="N35" s="43">
        <f t="shared" si="20"/>
        <v>3.7394450450450447E-5</v>
      </c>
      <c r="O35" s="43">
        <f t="shared" si="21"/>
        <v>1.0903898856840032E-2</v>
      </c>
      <c r="P35" s="43">
        <f t="shared" si="22"/>
        <v>3.0623580286168517</v>
      </c>
      <c r="Q35" s="43">
        <v>24.36</v>
      </c>
      <c r="R35" s="43">
        <f t="shared" si="23"/>
        <v>1.20638346581876</v>
      </c>
      <c r="S35" s="43">
        <f t="shared" si="24"/>
        <v>147.24064864864863</v>
      </c>
      <c r="T35" s="43">
        <f t="shared" si="25"/>
        <v>294.48129729729726</v>
      </c>
      <c r="U35" s="43">
        <f t="shared" si="26"/>
        <v>7.4363963963963958E-4</v>
      </c>
      <c r="V35" s="43">
        <f t="shared" si="27"/>
        <v>4.6743063063063062E-5</v>
      </c>
      <c r="W35" s="43">
        <f t="shared" si="28"/>
        <v>5.3117117117117108E-4</v>
      </c>
      <c r="X35" s="43">
        <f t="shared" si="29"/>
        <v>5.311711711711711E-13</v>
      </c>
      <c r="Y35" s="205">
        <f t="shared" si="30"/>
        <v>312.1404003335698</v>
      </c>
    </row>
    <row r="36" spans="1:25">
      <c r="A36" s="45" t="s">
        <v>973</v>
      </c>
      <c r="D36">
        <v>700</v>
      </c>
      <c r="F36">
        <v>0.04</v>
      </c>
      <c r="G36">
        <v>1.2</v>
      </c>
      <c r="H36" s="1">
        <f t="shared" si="17"/>
        <v>7.1599999999999992E-6</v>
      </c>
      <c r="I36" s="43">
        <f t="shared" si="1"/>
        <v>4.5422460540540537E-4</v>
      </c>
      <c r="J36" s="1">
        <f t="shared" si="15"/>
        <v>5.32E-8</v>
      </c>
      <c r="K36" s="1">
        <f t="shared" si="16"/>
        <v>1.0640000000000001E-5</v>
      </c>
      <c r="L36" s="43">
        <f t="shared" si="18"/>
        <v>1.6743783783783781E-3</v>
      </c>
      <c r="M36" s="43">
        <f t="shared" si="19"/>
        <v>8.1625945945945936E-4</v>
      </c>
      <c r="N36" s="43">
        <f t="shared" si="20"/>
        <v>1.1162522522522522E-5</v>
      </c>
      <c r="O36" s="43">
        <f t="shared" si="21"/>
        <v>1.0903898856840032E-2</v>
      </c>
      <c r="P36" s="43">
        <f t="shared" si="22"/>
        <v>0.91413672496025422</v>
      </c>
      <c r="Q36" s="43">
        <v>25.36</v>
      </c>
      <c r="R36" s="43">
        <f t="shared" si="23"/>
        <v>0.36011446740858505</v>
      </c>
      <c r="S36" s="43">
        <f t="shared" si="24"/>
        <v>43.952432432432431</v>
      </c>
      <c r="T36" s="43">
        <f t="shared" si="25"/>
        <v>87.904864864864862</v>
      </c>
      <c r="U36" s="43">
        <f t="shared" si="26"/>
        <v>2.2198198198198195E-4</v>
      </c>
      <c r="V36" s="43">
        <f t="shared" si="27"/>
        <v>1.3953153153153152E-5</v>
      </c>
      <c r="W36" s="43">
        <f t="shared" si="28"/>
        <v>1.5855855855855853E-4</v>
      </c>
      <c r="X36" s="43">
        <f t="shared" si="29"/>
        <v>1.5855855855855853E-13</v>
      </c>
      <c r="Y36" s="205">
        <f t="shared" si="30"/>
        <v>94.132437634113103</v>
      </c>
    </row>
    <row r="37" spans="1:25">
      <c r="A37" s="45" t="s">
        <v>974</v>
      </c>
      <c r="D37">
        <v>700</v>
      </c>
      <c r="F37">
        <v>4.2000000000000003E-2</v>
      </c>
      <c r="G37">
        <v>2</v>
      </c>
      <c r="H37" s="1">
        <f t="shared" si="17"/>
        <v>7.5179999999999998E-6</v>
      </c>
      <c r="I37" s="43">
        <f t="shared" si="1"/>
        <v>4.5422460540540537E-4</v>
      </c>
      <c r="J37" s="1">
        <f t="shared" si="15"/>
        <v>5.5860000000000005E-8</v>
      </c>
      <c r="K37" s="1">
        <f t="shared" si="16"/>
        <v>1.1172000000000001E-5</v>
      </c>
      <c r="L37" s="43">
        <f t="shared" si="18"/>
        <v>1.6743783783783781E-3</v>
      </c>
      <c r="M37" s="43">
        <f t="shared" si="19"/>
        <v>8.1625945945945936E-4</v>
      </c>
      <c r="N37" s="43">
        <f t="shared" si="20"/>
        <v>1.1162522522522522E-5</v>
      </c>
      <c r="O37" s="43">
        <f t="shared" si="21"/>
        <v>1.0903898856840032E-2</v>
      </c>
      <c r="P37" s="43">
        <f t="shared" si="22"/>
        <v>0.91413672496025422</v>
      </c>
      <c r="Q37" s="43">
        <v>26.36</v>
      </c>
      <c r="R37" s="43">
        <f t="shared" si="23"/>
        <v>0.36011446740858505</v>
      </c>
      <c r="S37" s="43">
        <f t="shared" si="24"/>
        <v>43.952432432432431</v>
      </c>
      <c r="T37" s="43">
        <f t="shared" si="25"/>
        <v>87.904864864864862</v>
      </c>
      <c r="U37" s="43">
        <f t="shared" si="26"/>
        <v>2.2198198198198195E-4</v>
      </c>
      <c r="V37" s="43">
        <f t="shared" si="27"/>
        <v>1.3953153153153152E-5</v>
      </c>
      <c r="W37" s="43">
        <f t="shared" si="28"/>
        <v>1.5855855855855853E-4</v>
      </c>
      <c r="X37" s="43">
        <f t="shared" si="29"/>
        <v>1.5855855855855853E-13</v>
      </c>
      <c r="Y37" s="205">
        <f t="shared" si="30"/>
        <v>94.194866284113118</v>
      </c>
    </row>
    <row r="38" spans="1:25">
      <c r="A38" s="45" t="s">
        <v>975</v>
      </c>
      <c r="D38">
        <v>700</v>
      </c>
      <c r="F38">
        <v>0.05</v>
      </c>
      <c r="G38">
        <v>2</v>
      </c>
      <c r="H38" s="1">
        <f t="shared" si="17"/>
        <v>8.949999999999999E-6</v>
      </c>
      <c r="I38" s="43">
        <f t="shared" si="1"/>
        <v>4.5422460540540537E-4</v>
      </c>
      <c r="J38" s="1">
        <f t="shared" si="15"/>
        <v>6.6500000000000007E-8</v>
      </c>
      <c r="K38" s="1">
        <f t="shared" si="16"/>
        <v>1.3300000000000001E-5</v>
      </c>
      <c r="L38" s="43">
        <f t="shared" si="18"/>
        <v>1.6743783783783781E-3</v>
      </c>
      <c r="M38" s="43">
        <f t="shared" si="19"/>
        <v>8.1625945945945936E-4</v>
      </c>
      <c r="N38" s="43">
        <f t="shared" si="20"/>
        <v>1.1162522522522522E-5</v>
      </c>
      <c r="O38" s="43">
        <f t="shared" si="21"/>
        <v>1.0903898856840032E-2</v>
      </c>
      <c r="P38" s="43">
        <f t="shared" si="22"/>
        <v>0.91413672496025422</v>
      </c>
      <c r="Q38" s="43">
        <v>27.36</v>
      </c>
      <c r="R38" s="43">
        <f t="shared" si="23"/>
        <v>0.36011446740858505</v>
      </c>
      <c r="S38" s="43">
        <f t="shared" si="24"/>
        <v>43.952432432432431</v>
      </c>
      <c r="T38" s="43">
        <f t="shared" si="25"/>
        <v>87.904864864864862</v>
      </c>
      <c r="U38" s="43">
        <f t="shared" si="26"/>
        <v>2.2198198198198195E-4</v>
      </c>
      <c r="V38" s="43">
        <f t="shared" si="27"/>
        <v>1.3953153153153152E-5</v>
      </c>
      <c r="W38" s="43">
        <f t="shared" si="28"/>
        <v>1.5855855855855853E-4</v>
      </c>
      <c r="X38" s="43">
        <f t="shared" si="29"/>
        <v>1.5855855855855853E-13</v>
      </c>
      <c r="Y38" s="205">
        <f t="shared" si="30"/>
        <v>94.324580884113104</v>
      </c>
    </row>
    <row r="39" spans="1:25">
      <c r="A39" s="45" t="s">
        <v>976</v>
      </c>
      <c r="D39">
        <v>700</v>
      </c>
      <c r="F39">
        <v>0.04</v>
      </c>
      <c r="G39">
        <v>2</v>
      </c>
      <c r="H39" s="1">
        <f t="shared" si="17"/>
        <v>7.1599999999999992E-6</v>
      </c>
      <c r="I39" s="43">
        <f t="shared" si="1"/>
        <v>4.5422460540540537E-4</v>
      </c>
      <c r="J39" s="1">
        <f t="shared" si="15"/>
        <v>5.32E-8</v>
      </c>
      <c r="K39" s="1">
        <f t="shared" si="16"/>
        <v>1.0640000000000001E-5</v>
      </c>
      <c r="L39" s="43">
        <f t="shared" si="18"/>
        <v>1.6743783783783781E-3</v>
      </c>
      <c r="M39" s="43">
        <f t="shared" si="19"/>
        <v>8.1625945945945936E-4</v>
      </c>
      <c r="N39" s="43">
        <f t="shared" si="20"/>
        <v>1.1162522522522522E-5</v>
      </c>
      <c r="O39" s="43">
        <f t="shared" si="21"/>
        <v>1.0903898856840032E-2</v>
      </c>
      <c r="P39" s="43">
        <f t="shared" si="22"/>
        <v>0.91413672496025422</v>
      </c>
      <c r="Q39" s="43">
        <v>28.36</v>
      </c>
      <c r="R39" s="43">
        <f t="shared" si="23"/>
        <v>0.36011446740858505</v>
      </c>
      <c r="S39" s="43">
        <f t="shared" si="24"/>
        <v>43.952432432432431</v>
      </c>
      <c r="T39" s="43">
        <f t="shared" si="25"/>
        <v>87.904864864864862</v>
      </c>
      <c r="U39" s="43">
        <f t="shared" si="26"/>
        <v>2.2198198198198195E-4</v>
      </c>
      <c r="V39" s="43">
        <f t="shared" si="27"/>
        <v>1.3953153153153152E-5</v>
      </c>
      <c r="W39" s="43">
        <f t="shared" si="28"/>
        <v>1.5855855855855853E-4</v>
      </c>
      <c r="X39" s="43">
        <f t="shared" si="29"/>
        <v>1.5855855855855853E-13</v>
      </c>
      <c r="Y39" s="205">
        <f t="shared" si="30"/>
        <v>94.252437634113107</v>
      </c>
    </row>
    <row r="40" spans="1:25">
      <c r="A40" s="45" t="s">
        <v>977</v>
      </c>
      <c r="D40">
        <v>700</v>
      </c>
      <c r="F40">
        <v>0.05</v>
      </c>
      <c r="G40">
        <v>2</v>
      </c>
      <c r="H40" s="1">
        <f t="shared" si="17"/>
        <v>8.949999999999999E-6</v>
      </c>
      <c r="I40" s="43">
        <f t="shared" si="1"/>
        <v>4.5422460540540537E-4</v>
      </c>
      <c r="J40" s="1">
        <f t="shared" si="15"/>
        <v>6.6500000000000007E-8</v>
      </c>
      <c r="K40" s="1">
        <f t="shared" si="16"/>
        <v>1.3300000000000001E-5</v>
      </c>
      <c r="L40" s="43">
        <f t="shared" si="18"/>
        <v>1.6743783783783781E-3</v>
      </c>
      <c r="M40" s="43">
        <f t="shared" si="19"/>
        <v>8.1625945945945936E-4</v>
      </c>
      <c r="N40" s="43">
        <f t="shared" si="20"/>
        <v>1.1162522522522522E-5</v>
      </c>
      <c r="O40" s="43">
        <f t="shared" si="21"/>
        <v>1.0903898856840032E-2</v>
      </c>
      <c r="P40" s="43">
        <f t="shared" si="22"/>
        <v>0.91413672496025422</v>
      </c>
      <c r="Q40" s="43">
        <v>29.36</v>
      </c>
      <c r="R40" s="43">
        <f t="shared" si="23"/>
        <v>0.36011446740858505</v>
      </c>
      <c r="S40" s="43">
        <f t="shared" si="24"/>
        <v>43.952432432432431</v>
      </c>
      <c r="T40" s="43">
        <f t="shared" si="25"/>
        <v>87.904864864864862</v>
      </c>
      <c r="U40" s="43">
        <f t="shared" si="26"/>
        <v>2.2198198198198195E-4</v>
      </c>
      <c r="V40" s="43">
        <f t="shared" si="27"/>
        <v>1.3953153153153152E-5</v>
      </c>
      <c r="W40" s="43">
        <f t="shared" si="28"/>
        <v>1.5855855855855853E-4</v>
      </c>
      <c r="X40" s="43">
        <f t="shared" si="29"/>
        <v>1.5855855855855853E-13</v>
      </c>
      <c r="Y40" s="205">
        <f t="shared" si="30"/>
        <v>94.404580884113116</v>
      </c>
    </row>
    <row r="41" spans="1:25">
      <c r="A41" s="45" t="s">
        <v>978</v>
      </c>
      <c r="D41">
        <v>700</v>
      </c>
      <c r="F41">
        <v>0.04</v>
      </c>
      <c r="G41">
        <v>1.5</v>
      </c>
      <c r="H41" s="1">
        <f t="shared" si="17"/>
        <v>7.1599999999999992E-6</v>
      </c>
      <c r="I41" s="43">
        <f t="shared" si="1"/>
        <v>4.5422460540540537E-4</v>
      </c>
      <c r="J41" s="1">
        <f t="shared" si="15"/>
        <v>5.32E-8</v>
      </c>
      <c r="K41" s="1">
        <f t="shared" si="16"/>
        <v>1.0640000000000001E-5</v>
      </c>
      <c r="L41" s="43">
        <f t="shared" si="18"/>
        <v>1.6743783783783781E-3</v>
      </c>
      <c r="M41" s="43">
        <f t="shared" si="19"/>
        <v>8.1625945945945936E-4</v>
      </c>
      <c r="N41" s="43">
        <f t="shared" si="20"/>
        <v>1.1162522522522522E-5</v>
      </c>
      <c r="O41" s="43">
        <f t="shared" si="21"/>
        <v>1.0903898856840032E-2</v>
      </c>
      <c r="P41" s="43">
        <f t="shared" si="22"/>
        <v>0.91413672496025422</v>
      </c>
      <c r="Q41" s="43">
        <v>30.36</v>
      </c>
      <c r="R41" s="43">
        <f t="shared" si="23"/>
        <v>0.36011446740858505</v>
      </c>
      <c r="S41" s="43">
        <f t="shared" si="24"/>
        <v>43.952432432432431</v>
      </c>
      <c r="T41" s="43">
        <f t="shared" si="25"/>
        <v>87.904864864864862</v>
      </c>
      <c r="U41" s="43">
        <f t="shared" si="26"/>
        <v>2.2198198198198195E-4</v>
      </c>
      <c r="V41" s="43">
        <f t="shared" si="27"/>
        <v>1.3953153153153152E-5</v>
      </c>
      <c r="W41" s="43">
        <f t="shared" si="28"/>
        <v>1.5855855855855853E-4</v>
      </c>
      <c r="X41" s="43">
        <f t="shared" si="29"/>
        <v>1.5855855855855853E-13</v>
      </c>
      <c r="Y41" s="205">
        <f t="shared" si="30"/>
        <v>94.332437634113106</v>
      </c>
    </row>
    <row r="42" spans="1:25">
      <c r="A42" s="45" t="s">
        <v>759</v>
      </c>
      <c r="D42">
        <v>155</v>
      </c>
      <c r="E42">
        <v>1.2</v>
      </c>
      <c r="F42">
        <v>2.5000000000000001E-2</v>
      </c>
      <c r="G42">
        <v>1.1000000000000001</v>
      </c>
      <c r="H42" s="1">
        <f t="shared" si="17"/>
        <v>4.4749999999999995E-6</v>
      </c>
      <c r="I42" s="43">
        <f t="shared" si="1"/>
        <v>1.0057830548262547E-4</v>
      </c>
      <c r="J42" s="1">
        <f t="shared" si="15"/>
        <v>3.3250000000000003E-8</v>
      </c>
      <c r="K42" s="1">
        <f t="shared" si="16"/>
        <v>6.6500000000000007E-6</v>
      </c>
      <c r="L42" s="43">
        <f t="shared" si="18"/>
        <v>3.7075521235521231E-4</v>
      </c>
      <c r="M42" s="43">
        <f t="shared" si="19"/>
        <v>1.80743166023166E-4</v>
      </c>
      <c r="N42" s="43">
        <f t="shared" si="20"/>
        <v>2.4717014157014154E-6</v>
      </c>
      <c r="O42" s="43">
        <f t="shared" si="21"/>
        <v>1.0903898856840032E-2</v>
      </c>
      <c r="P42" s="43">
        <f t="shared" si="22"/>
        <v>0.20241598909834199</v>
      </c>
      <c r="Q42" s="43">
        <v>31.36</v>
      </c>
      <c r="R42" s="43">
        <f t="shared" si="23"/>
        <v>7.9739632069043845E-2</v>
      </c>
      <c r="S42" s="43">
        <f t="shared" si="24"/>
        <v>9.732324324324324</v>
      </c>
      <c r="T42" s="43">
        <f t="shared" si="25"/>
        <v>19.464648648648648</v>
      </c>
      <c r="U42" s="43">
        <f t="shared" si="26"/>
        <v>4.9153153153153146E-5</v>
      </c>
      <c r="V42" s="43">
        <f t="shared" si="27"/>
        <v>3.0896267696267693E-6</v>
      </c>
      <c r="W42" s="43">
        <f t="shared" si="28"/>
        <v>3.5109395109395104E-5</v>
      </c>
      <c r="X42" s="43">
        <f t="shared" si="29"/>
        <v>3.5109395109395106E-14</v>
      </c>
      <c r="Y42" s="205">
        <f t="shared" si="30"/>
        <v>22.056292976086375</v>
      </c>
    </row>
    <row r="43" spans="1:25">
      <c r="A43" s="45" t="s">
        <v>760</v>
      </c>
      <c r="D43">
        <v>633</v>
      </c>
      <c r="E43">
        <v>1.2</v>
      </c>
      <c r="F43">
        <v>3.3000000000000002E-2</v>
      </c>
      <c r="G43">
        <v>1.1000000000000001</v>
      </c>
      <c r="H43" s="1">
        <f t="shared" si="17"/>
        <v>5.9069999999999995E-6</v>
      </c>
      <c r="I43" s="43">
        <f t="shared" si="1"/>
        <v>4.107488217451737E-4</v>
      </c>
      <c r="J43" s="1">
        <f t="shared" si="15"/>
        <v>4.3889999999999998E-8</v>
      </c>
      <c r="K43" s="1">
        <f t="shared" si="16"/>
        <v>8.7780000000000013E-6</v>
      </c>
      <c r="L43" s="43">
        <f t="shared" si="18"/>
        <v>1.5141164478764475E-3</v>
      </c>
      <c r="M43" s="43">
        <f t="shared" si="19"/>
        <v>7.3813176833976827E-4</v>
      </c>
      <c r="N43" s="43">
        <f t="shared" si="20"/>
        <v>1.0094109652509652E-5</v>
      </c>
      <c r="O43" s="43">
        <f t="shared" si="21"/>
        <v>1.0903898856840032E-2</v>
      </c>
      <c r="P43" s="43">
        <f t="shared" si="22"/>
        <v>0.82664078128548701</v>
      </c>
      <c r="Q43" s="43">
        <v>32.36</v>
      </c>
      <c r="R43" s="43">
        <f t="shared" si="23"/>
        <v>0.32564636838519195</v>
      </c>
      <c r="S43" s="43">
        <f t="shared" si="24"/>
        <v>39.745556756756756</v>
      </c>
      <c r="T43" s="43">
        <f t="shared" si="25"/>
        <v>79.491113513513511</v>
      </c>
      <c r="U43" s="43">
        <f t="shared" si="26"/>
        <v>2.0073513513513511E-4</v>
      </c>
      <c r="V43" s="43">
        <f t="shared" si="27"/>
        <v>1.2617637065637065E-5</v>
      </c>
      <c r="W43" s="43">
        <f t="shared" si="28"/>
        <v>1.4338223938223938E-4</v>
      </c>
      <c r="X43" s="43">
        <f t="shared" si="29"/>
        <v>1.4338223938223936E-13</v>
      </c>
      <c r="Y43" s="205">
        <f t="shared" si="30"/>
        <v>85.464375349089622</v>
      </c>
    </row>
    <row r="44" spans="1:25">
      <c r="A44" s="45" t="s">
        <v>979</v>
      </c>
      <c r="D44">
        <v>700</v>
      </c>
      <c r="F44">
        <v>0.06</v>
      </c>
      <c r="G44">
        <v>1.8</v>
      </c>
      <c r="H44" s="1">
        <f t="shared" si="17"/>
        <v>1.0739999999999999E-5</v>
      </c>
      <c r="I44" s="43">
        <f t="shared" si="1"/>
        <v>4.5422460540540537E-4</v>
      </c>
      <c r="J44" s="1">
        <f t="shared" si="15"/>
        <v>7.98E-8</v>
      </c>
      <c r="K44" s="1">
        <f t="shared" si="16"/>
        <v>1.596E-5</v>
      </c>
      <c r="L44" s="43">
        <f t="shared" si="18"/>
        <v>1.6743783783783781E-3</v>
      </c>
      <c r="M44" s="43">
        <f t="shared" si="19"/>
        <v>8.1625945945945936E-4</v>
      </c>
      <c r="N44" s="43">
        <f t="shared" si="20"/>
        <v>1.1162522522522522E-5</v>
      </c>
      <c r="O44" s="43">
        <f t="shared" si="21"/>
        <v>1.0903898856840032E-2</v>
      </c>
      <c r="P44" s="43">
        <f t="shared" si="22"/>
        <v>0.91413672496025422</v>
      </c>
      <c r="Q44" s="43">
        <v>33.36</v>
      </c>
      <c r="R44" s="43">
        <f t="shared" si="23"/>
        <v>0.36011446740858505</v>
      </c>
      <c r="S44" s="43">
        <f t="shared" si="24"/>
        <v>43.952432432432431</v>
      </c>
      <c r="T44" s="43">
        <f t="shared" si="25"/>
        <v>87.904864864864862</v>
      </c>
      <c r="U44" s="43">
        <f t="shared" si="26"/>
        <v>2.2198198198198195E-4</v>
      </c>
      <c r="V44" s="43">
        <f t="shared" si="27"/>
        <v>1.3953153153153152E-5</v>
      </c>
      <c r="W44" s="43">
        <f t="shared" si="28"/>
        <v>1.5855855855855853E-4</v>
      </c>
      <c r="X44" s="43">
        <f t="shared" si="29"/>
        <v>1.5855855855855853E-13</v>
      </c>
      <c r="Y44" s="205">
        <f t="shared" si="30"/>
        <v>94.676724134113115</v>
      </c>
    </row>
    <row r="45" spans="1:25">
      <c r="A45" s="45" t="s">
        <v>980</v>
      </c>
      <c r="D45">
        <v>700</v>
      </c>
      <c r="F45">
        <v>7.0000000000000007E-2</v>
      </c>
      <c r="G45">
        <v>1.2</v>
      </c>
      <c r="H45" s="1">
        <f t="shared" si="17"/>
        <v>1.253E-5</v>
      </c>
      <c r="I45" s="43">
        <f t="shared" si="1"/>
        <v>4.5422460540540537E-4</v>
      </c>
      <c r="J45" s="1">
        <f t="shared" si="15"/>
        <v>9.3100000000000006E-8</v>
      </c>
      <c r="K45" s="1">
        <f t="shared" si="16"/>
        <v>1.8620000000000001E-5</v>
      </c>
      <c r="L45" s="43">
        <f t="shared" si="18"/>
        <v>1.6743783783783781E-3</v>
      </c>
      <c r="M45" s="43">
        <f t="shared" si="19"/>
        <v>8.1625945945945936E-4</v>
      </c>
      <c r="N45" s="43">
        <f t="shared" si="20"/>
        <v>1.1162522522522522E-5</v>
      </c>
      <c r="O45" s="43">
        <f t="shared" si="21"/>
        <v>1.0903898856840032E-2</v>
      </c>
      <c r="P45" s="43">
        <f t="shared" si="22"/>
        <v>0.91413672496025422</v>
      </c>
      <c r="Q45" s="43">
        <v>34.36</v>
      </c>
      <c r="R45" s="43">
        <f t="shared" si="23"/>
        <v>0.36011446740858505</v>
      </c>
      <c r="S45" s="43">
        <f t="shared" si="24"/>
        <v>43.952432432432431</v>
      </c>
      <c r="T45" s="43">
        <f t="shared" si="25"/>
        <v>87.904864864864862</v>
      </c>
      <c r="U45" s="43">
        <f t="shared" si="26"/>
        <v>2.2198198198198195E-4</v>
      </c>
      <c r="V45" s="43">
        <f t="shared" si="27"/>
        <v>1.3953153153153152E-5</v>
      </c>
      <c r="W45" s="43">
        <f t="shared" si="28"/>
        <v>1.5855855855855853E-4</v>
      </c>
      <c r="X45" s="43">
        <f t="shared" si="29"/>
        <v>1.5855855855855853E-13</v>
      </c>
      <c r="Y45" s="205">
        <f t="shared" si="30"/>
        <v>94.828867384113096</v>
      </c>
    </row>
    <row r="46" spans="1:25">
      <c r="A46" s="45" t="s">
        <v>981</v>
      </c>
      <c r="D46">
        <v>700</v>
      </c>
      <c r="F46">
        <v>5.3999999999999999E-2</v>
      </c>
      <c r="G46">
        <v>2.5</v>
      </c>
      <c r="H46" s="1">
        <f t="shared" si="17"/>
        <v>9.6659999999999986E-6</v>
      </c>
      <c r="I46" s="43">
        <f t="shared" si="1"/>
        <v>4.5422460540540537E-4</v>
      </c>
      <c r="J46" s="1">
        <f t="shared" si="15"/>
        <v>7.1820000000000004E-8</v>
      </c>
      <c r="K46" s="1">
        <f t="shared" si="16"/>
        <v>1.4364E-5</v>
      </c>
      <c r="L46" s="43">
        <f t="shared" si="18"/>
        <v>1.6743783783783781E-3</v>
      </c>
      <c r="M46" s="43">
        <f t="shared" si="19"/>
        <v>8.1625945945945936E-4</v>
      </c>
      <c r="N46" s="43">
        <f t="shared" si="20"/>
        <v>1.1162522522522522E-5</v>
      </c>
      <c r="O46" s="43">
        <f t="shared" si="21"/>
        <v>1.0903898856840032E-2</v>
      </c>
      <c r="P46" s="43">
        <f t="shared" si="22"/>
        <v>0.91413672496025422</v>
      </c>
      <c r="Q46" s="43">
        <v>35.36</v>
      </c>
      <c r="R46" s="43">
        <f t="shared" si="23"/>
        <v>0.36011446740858505</v>
      </c>
      <c r="S46" s="43">
        <f t="shared" si="24"/>
        <v>43.952432432432431</v>
      </c>
      <c r="T46" s="43">
        <f t="shared" si="25"/>
        <v>87.904864864864862</v>
      </c>
      <c r="U46" s="43">
        <f t="shared" si="26"/>
        <v>2.2198198198198195E-4</v>
      </c>
      <c r="V46" s="43">
        <f t="shared" si="27"/>
        <v>1.3953153153153152E-5</v>
      </c>
      <c r="W46" s="43">
        <f t="shared" si="28"/>
        <v>1.5855855855855853E-4</v>
      </c>
      <c r="X46" s="43">
        <f t="shared" si="29"/>
        <v>1.5855855855855853E-13</v>
      </c>
      <c r="Y46" s="205">
        <f t="shared" si="30"/>
        <v>94.689438184113115</v>
      </c>
    </row>
    <row r="47" spans="1:25">
      <c r="A47" s="45" t="s">
        <v>982</v>
      </c>
      <c r="D47">
        <v>700</v>
      </c>
      <c r="F47">
        <v>0.11799999999999999</v>
      </c>
      <c r="G47">
        <v>2.5</v>
      </c>
      <c r="H47" s="1">
        <f t="shared" si="17"/>
        <v>2.1121999999999999E-5</v>
      </c>
      <c r="I47" s="43">
        <f t="shared" si="1"/>
        <v>4.5422460540540537E-4</v>
      </c>
      <c r="J47" s="1">
        <f t="shared" si="15"/>
        <v>1.5694E-7</v>
      </c>
      <c r="K47" s="1">
        <f t="shared" si="16"/>
        <v>3.1387999999999998E-5</v>
      </c>
      <c r="L47" s="43">
        <f t="shared" si="18"/>
        <v>1.6743783783783781E-3</v>
      </c>
      <c r="M47" s="43">
        <f t="shared" si="19"/>
        <v>8.1625945945945936E-4</v>
      </c>
      <c r="N47" s="43">
        <f t="shared" si="20"/>
        <v>1.1162522522522522E-5</v>
      </c>
      <c r="O47" s="43">
        <f t="shared" si="21"/>
        <v>1.0903898856840032E-2</v>
      </c>
      <c r="P47" s="43">
        <f t="shared" si="22"/>
        <v>0.91413672496025422</v>
      </c>
      <c r="Q47" s="43">
        <v>36.36</v>
      </c>
      <c r="R47" s="43">
        <f t="shared" si="23"/>
        <v>0.36011446740858505</v>
      </c>
      <c r="S47" s="43">
        <f t="shared" si="24"/>
        <v>43.952432432432431</v>
      </c>
      <c r="T47" s="43">
        <f t="shared" si="25"/>
        <v>87.904864864864862</v>
      </c>
      <c r="U47" s="43">
        <f t="shared" si="26"/>
        <v>2.2198198198198195E-4</v>
      </c>
      <c r="V47" s="43">
        <f t="shared" si="27"/>
        <v>1.3953153153153152E-5</v>
      </c>
      <c r="W47" s="43">
        <f t="shared" si="28"/>
        <v>1.5855855855855853E-4</v>
      </c>
      <c r="X47" s="43">
        <f t="shared" si="29"/>
        <v>1.5855855855855853E-13</v>
      </c>
      <c r="Y47" s="205">
        <f t="shared" si="30"/>
        <v>95.447154984113112</v>
      </c>
    </row>
    <row r="48" spans="1:25">
      <c r="A48" s="45" t="s">
        <v>983</v>
      </c>
      <c r="D48">
        <v>700</v>
      </c>
      <c r="F48">
        <v>0.14000000000000001</v>
      </c>
      <c r="G48">
        <v>2.5</v>
      </c>
      <c r="H48" s="1">
        <f t="shared" si="17"/>
        <v>2.5060000000000001E-5</v>
      </c>
      <c r="I48" s="43">
        <f t="shared" si="1"/>
        <v>4.5422460540540537E-4</v>
      </c>
      <c r="J48" s="1">
        <f t="shared" si="15"/>
        <v>1.8620000000000001E-7</v>
      </c>
      <c r="K48" s="1">
        <f t="shared" si="16"/>
        <v>3.7240000000000003E-5</v>
      </c>
      <c r="L48" s="43">
        <f t="shared" si="18"/>
        <v>1.6743783783783781E-3</v>
      </c>
      <c r="M48" s="43">
        <f t="shared" si="19"/>
        <v>8.1625945945945936E-4</v>
      </c>
      <c r="N48" s="43">
        <f t="shared" si="20"/>
        <v>1.1162522522522522E-5</v>
      </c>
      <c r="O48" s="43">
        <f t="shared" si="21"/>
        <v>1.0903898856840032E-2</v>
      </c>
      <c r="P48" s="43">
        <f t="shared" si="22"/>
        <v>0.91413672496025422</v>
      </c>
      <c r="Q48" s="43">
        <v>37.36</v>
      </c>
      <c r="R48" s="43">
        <f t="shared" si="23"/>
        <v>0.36011446740858505</v>
      </c>
      <c r="S48" s="43">
        <f t="shared" si="24"/>
        <v>43.952432432432431</v>
      </c>
      <c r="T48" s="43">
        <f t="shared" si="25"/>
        <v>87.904864864864862</v>
      </c>
      <c r="U48" s="43">
        <f t="shared" si="26"/>
        <v>2.2198198198198195E-4</v>
      </c>
      <c r="V48" s="43">
        <f t="shared" si="27"/>
        <v>1.3953153153153152E-5</v>
      </c>
      <c r="W48" s="43">
        <f t="shared" si="28"/>
        <v>1.5855855855855853E-4</v>
      </c>
      <c r="X48" s="43">
        <f t="shared" si="29"/>
        <v>1.5855855855855853E-13</v>
      </c>
      <c r="Y48" s="205">
        <f t="shared" si="30"/>
        <v>95.733870134113104</v>
      </c>
    </row>
    <row r="49" spans="1:27">
      <c r="A49" s="45" t="s">
        <v>984</v>
      </c>
      <c r="D49">
        <v>700</v>
      </c>
      <c r="F49">
        <v>0.27</v>
      </c>
      <c r="G49">
        <v>2.5</v>
      </c>
      <c r="H49" s="1">
        <f t="shared" si="17"/>
        <v>4.833E-5</v>
      </c>
      <c r="I49" s="43">
        <f t="shared" si="1"/>
        <v>4.5422460540540537E-4</v>
      </c>
      <c r="J49" s="1">
        <f t="shared" si="15"/>
        <v>3.5910000000000003E-7</v>
      </c>
      <c r="K49" s="1">
        <f t="shared" si="16"/>
        <v>7.1820000000000014E-5</v>
      </c>
      <c r="L49" s="43">
        <f t="shared" si="18"/>
        <v>1.6743783783783781E-3</v>
      </c>
      <c r="M49" s="43">
        <f t="shared" si="19"/>
        <v>8.1625945945945936E-4</v>
      </c>
      <c r="N49" s="43">
        <f t="shared" si="20"/>
        <v>1.1162522522522522E-5</v>
      </c>
      <c r="O49" s="43">
        <f t="shared" si="21"/>
        <v>1.0903898856840032E-2</v>
      </c>
      <c r="P49" s="43">
        <f t="shared" si="22"/>
        <v>0.91413672496025422</v>
      </c>
      <c r="Q49" s="43">
        <v>38.36</v>
      </c>
      <c r="R49" s="43">
        <f t="shared" si="23"/>
        <v>0.36011446740858505</v>
      </c>
      <c r="S49" s="43">
        <f t="shared" si="24"/>
        <v>43.952432432432431</v>
      </c>
      <c r="T49" s="43">
        <f t="shared" si="25"/>
        <v>87.904864864864862</v>
      </c>
      <c r="U49" s="43">
        <f t="shared" si="26"/>
        <v>2.2198198198198195E-4</v>
      </c>
      <c r="V49" s="43">
        <f t="shared" si="27"/>
        <v>1.3953153153153152E-5</v>
      </c>
      <c r="W49" s="43">
        <f t="shared" si="28"/>
        <v>1.5855855855855853E-4</v>
      </c>
      <c r="X49" s="43">
        <f t="shared" si="29"/>
        <v>1.5855855855855853E-13</v>
      </c>
      <c r="Y49" s="205">
        <f t="shared" si="30"/>
        <v>97.231732384113116</v>
      </c>
    </row>
    <row r="50" spans="1:27">
      <c r="A50" s="45" t="s">
        <v>985</v>
      </c>
      <c r="D50">
        <v>700</v>
      </c>
      <c r="F50">
        <v>4.7E-2</v>
      </c>
      <c r="G50">
        <v>2.5</v>
      </c>
      <c r="H50" s="1">
        <f t="shared" si="17"/>
        <v>8.4129999999999989E-6</v>
      </c>
      <c r="I50" s="43">
        <f t="shared" si="1"/>
        <v>4.5422460540540537E-4</v>
      </c>
      <c r="J50" s="1">
        <f t="shared" si="15"/>
        <v>6.2509999999999995E-8</v>
      </c>
      <c r="K50" s="1">
        <f t="shared" si="16"/>
        <v>1.2502E-5</v>
      </c>
      <c r="L50" s="43">
        <f t="shared" si="18"/>
        <v>1.6743783783783781E-3</v>
      </c>
      <c r="M50" s="43">
        <f t="shared" si="19"/>
        <v>8.1625945945945936E-4</v>
      </c>
      <c r="N50" s="43">
        <f t="shared" si="20"/>
        <v>1.1162522522522522E-5</v>
      </c>
      <c r="O50" s="43">
        <f t="shared" si="21"/>
        <v>1.0903898856840032E-2</v>
      </c>
      <c r="P50" s="43">
        <f t="shared" si="22"/>
        <v>0.91413672496025422</v>
      </c>
      <c r="Q50" s="43">
        <v>39.36</v>
      </c>
      <c r="R50" s="43">
        <f t="shared" si="23"/>
        <v>0.36011446740858505</v>
      </c>
      <c r="S50" s="43">
        <f t="shared" si="24"/>
        <v>43.952432432432431</v>
      </c>
      <c r="T50" s="43">
        <f t="shared" si="25"/>
        <v>87.904864864864862</v>
      </c>
      <c r="U50" s="43">
        <f t="shared" si="26"/>
        <v>2.2198198198198195E-4</v>
      </c>
      <c r="V50" s="43">
        <f t="shared" si="27"/>
        <v>1.3953153153153152E-5</v>
      </c>
      <c r="W50" s="43">
        <f t="shared" si="28"/>
        <v>1.5855855855855853E-4</v>
      </c>
      <c r="X50" s="43">
        <f t="shared" si="29"/>
        <v>1.5855855855855853E-13</v>
      </c>
      <c r="Y50" s="205">
        <f t="shared" si="30"/>
        <v>94.770937909113101</v>
      </c>
    </row>
    <row r="51" spans="1:27">
      <c r="A51" s="45" t="s">
        <v>986</v>
      </c>
      <c r="D51">
        <v>700</v>
      </c>
      <c r="F51">
        <v>6.7000000000000004E-2</v>
      </c>
      <c r="G51">
        <v>2.5</v>
      </c>
      <c r="H51" s="1">
        <f t="shared" si="17"/>
        <v>1.1993E-5</v>
      </c>
      <c r="I51" s="43">
        <f t="shared" si="1"/>
        <v>4.5422460540540537E-4</v>
      </c>
      <c r="J51" s="1">
        <f t="shared" si="15"/>
        <v>8.9110000000000008E-8</v>
      </c>
      <c r="K51" s="1">
        <f t="shared" si="16"/>
        <v>1.7822000000000003E-5</v>
      </c>
      <c r="L51" s="43">
        <f t="shared" si="18"/>
        <v>1.6743783783783781E-3</v>
      </c>
      <c r="M51" s="43">
        <f t="shared" si="19"/>
        <v>8.1625945945945936E-4</v>
      </c>
      <c r="N51" s="43">
        <f t="shared" si="20"/>
        <v>1.1162522522522522E-5</v>
      </c>
      <c r="O51" s="43">
        <f t="shared" si="21"/>
        <v>1.0903898856840032E-2</v>
      </c>
      <c r="P51" s="43">
        <f t="shared" si="22"/>
        <v>0.91413672496025422</v>
      </c>
      <c r="Q51" s="43">
        <v>40.36</v>
      </c>
      <c r="R51" s="43">
        <f t="shared" si="23"/>
        <v>0.36011446740858505</v>
      </c>
      <c r="S51" s="43">
        <f t="shared" si="24"/>
        <v>43.952432432432431</v>
      </c>
      <c r="T51" s="43">
        <f t="shared" si="25"/>
        <v>87.904864864864862</v>
      </c>
      <c r="U51" s="43">
        <f t="shared" si="26"/>
        <v>2.2198198198198195E-4</v>
      </c>
      <c r="V51" s="43">
        <f t="shared" si="27"/>
        <v>1.3953153153153152E-5</v>
      </c>
      <c r="W51" s="43">
        <f t="shared" si="28"/>
        <v>1.5855855855855853E-4</v>
      </c>
      <c r="X51" s="43">
        <f t="shared" si="29"/>
        <v>1.5855855855855853E-13</v>
      </c>
      <c r="Y51" s="205">
        <f t="shared" si="30"/>
        <v>95.035224409113113</v>
      </c>
    </row>
    <row r="52" spans="1:27">
      <c r="A52" s="45" t="s">
        <v>987</v>
      </c>
      <c r="D52">
        <v>700</v>
      </c>
      <c r="F52">
        <v>0.63</v>
      </c>
      <c r="G52">
        <v>2.5</v>
      </c>
      <c r="H52" s="1">
        <f t="shared" si="17"/>
        <v>1.1276999999999999E-4</v>
      </c>
      <c r="I52" s="43">
        <f t="shared" si="1"/>
        <v>4.5422460540540537E-4</v>
      </c>
      <c r="J52" s="1">
        <f t="shared" si="15"/>
        <v>8.3789999999999995E-7</v>
      </c>
      <c r="K52" s="1">
        <f t="shared" si="16"/>
        <v>1.6758000000000002E-4</v>
      </c>
      <c r="L52" s="43">
        <f t="shared" ref="L52:L83" si="31">CO2_malnutrition_charfact*D52</f>
        <v>1.6743783783783781E-3</v>
      </c>
      <c r="M52" s="43">
        <f t="shared" ref="M52:M83" si="32">CO2_workingcapacity_charfact*D52</f>
        <v>8.1625945945945936E-4</v>
      </c>
      <c r="N52" s="43">
        <f t="shared" ref="N52:N83" si="33">CO2_diarrhea_charfact*D52</f>
        <v>1.1162522522522522E-5</v>
      </c>
      <c r="O52" s="43">
        <f t="shared" ref="O52:O83" si="34">CO2_crop_charfact</f>
        <v>1.0903898856840032E-2</v>
      </c>
      <c r="P52" s="43">
        <f t="shared" ref="P52:P83" si="35">CO2_fruitandveg_charfact*D52</f>
        <v>0.91413672496025422</v>
      </c>
      <c r="Q52" s="43">
        <v>41.36</v>
      </c>
      <c r="R52" s="43">
        <f t="shared" ref="R52:R83" si="36">CO2_meatandfish_charfact*D52</f>
        <v>0.36011446740858505</v>
      </c>
      <c r="S52" s="43">
        <f t="shared" ref="S52:S83" si="37">CO2_drinkingwater_charfact*D52</f>
        <v>43.952432432432431</v>
      </c>
      <c r="T52" s="43">
        <f t="shared" ref="T52:T83" si="38">CO2_irrigationwater_charfact*D52</f>
        <v>87.904864864864862</v>
      </c>
      <c r="U52" s="43">
        <f t="shared" ref="U52:U83" si="39">CO2_energyaccess_charfact*D52</f>
        <v>2.2198198198198195E-4</v>
      </c>
      <c r="V52" s="43">
        <f t="shared" ref="V52:V83" si="40">CO2_housing_charfact*D52</f>
        <v>1.3953153153153152E-5</v>
      </c>
      <c r="W52" s="43">
        <f t="shared" ref="W52:W83" si="41">CO2_separations_charfact*D52</f>
        <v>1.5855855855855853E-4</v>
      </c>
      <c r="X52" s="43">
        <f t="shared" ref="X52:X83" si="42">CO2_NEX_charfact*D52</f>
        <v>1.5855855855855853E-13</v>
      </c>
      <c r="Y52" s="205">
        <f t="shared" ref="Y52:Y83" si="43">(H52+I52)*YOLLvalue+J52*skincancervalue+K52*Lowvisionvalue+L52*malnutrition+M52*working_capacity+N52*diarrhea+O52*cropvalue+P52*Fruitandveg_value+Q52*woodvalue+R52*fishandmeatvalue+S52*drinkingwatervalue+T52*irrigationwatervalue+U52*energy_access+V52*housingvalue+W52*migrationvalue+X52*speciesvalue</f>
        <v>101.3888893841131</v>
      </c>
    </row>
    <row r="53" spans="1:27">
      <c r="A53" s="45" t="s">
        <v>988</v>
      </c>
      <c r="D53">
        <v>700</v>
      </c>
      <c r="F53">
        <v>7.3999999999999996E-2</v>
      </c>
      <c r="G53">
        <v>2.5</v>
      </c>
      <c r="H53" s="1">
        <f t="shared" si="17"/>
        <v>1.3245999999999998E-5</v>
      </c>
      <c r="I53" s="43">
        <f t="shared" si="1"/>
        <v>4.5422460540540537E-4</v>
      </c>
      <c r="J53" s="1">
        <f t="shared" si="15"/>
        <v>9.8419999999999991E-8</v>
      </c>
      <c r="K53" s="1">
        <f t="shared" si="16"/>
        <v>1.9684E-5</v>
      </c>
      <c r="L53" s="43">
        <f t="shared" si="31"/>
        <v>1.6743783783783781E-3</v>
      </c>
      <c r="M53" s="43">
        <f t="shared" si="32"/>
        <v>8.1625945945945936E-4</v>
      </c>
      <c r="N53" s="43">
        <f t="shared" si="33"/>
        <v>1.1162522522522522E-5</v>
      </c>
      <c r="O53" s="43">
        <f t="shared" si="34"/>
        <v>1.0903898856840032E-2</v>
      </c>
      <c r="P53" s="43">
        <f t="shared" si="35"/>
        <v>0.91413672496025422</v>
      </c>
      <c r="Q53" s="43">
        <v>42.36</v>
      </c>
      <c r="R53" s="43">
        <f t="shared" si="36"/>
        <v>0.36011446740858505</v>
      </c>
      <c r="S53" s="43">
        <f t="shared" si="37"/>
        <v>43.952432432432431</v>
      </c>
      <c r="T53" s="43">
        <f t="shared" si="38"/>
        <v>87.904864864864862</v>
      </c>
      <c r="U53" s="43">
        <f t="shared" si="39"/>
        <v>2.2198198198198195E-4</v>
      </c>
      <c r="V53" s="43">
        <f t="shared" si="40"/>
        <v>1.3953153153153152E-5</v>
      </c>
      <c r="W53" s="43">
        <f t="shared" si="41"/>
        <v>1.5855855855855853E-4</v>
      </c>
      <c r="X53" s="43">
        <f t="shared" si="42"/>
        <v>1.5855855855855853E-13</v>
      </c>
      <c r="Y53" s="205">
        <f t="shared" si="43"/>
        <v>95.193724684113121</v>
      </c>
    </row>
    <row r="54" spans="1:27">
      <c r="A54" s="45" t="s">
        <v>989</v>
      </c>
      <c r="D54">
        <v>700</v>
      </c>
      <c r="F54">
        <v>5.0000000000000001E-3</v>
      </c>
      <c r="G54">
        <v>2</v>
      </c>
      <c r="H54" s="1">
        <f t="shared" si="17"/>
        <v>8.949999999999999E-7</v>
      </c>
      <c r="I54" s="43">
        <f t="shared" si="1"/>
        <v>4.5422460540540537E-4</v>
      </c>
      <c r="J54" s="1">
        <f t="shared" si="15"/>
        <v>6.65E-9</v>
      </c>
      <c r="K54" s="1">
        <f t="shared" si="16"/>
        <v>1.3300000000000002E-6</v>
      </c>
      <c r="L54" s="43">
        <f t="shared" si="31"/>
        <v>1.6743783783783781E-3</v>
      </c>
      <c r="M54" s="43">
        <f t="shared" si="32"/>
        <v>8.1625945945945936E-4</v>
      </c>
      <c r="N54" s="43">
        <f t="shared" si="33"/>
        <v>1.1162522522522522E-5</v>
      </c>
      <c r="O54" s="43">
        <f t="shared" si="34"/>
        <v>1.0903898856840032E-2</v>
      </c>
      <c r="P54" s="43">
        <f t="shared" si="35"/>
        <v>0.91413672496025422</v>
      </c>
      <c r="Q54" s="43">
        <v>43.36</v>
      </c>
      <c r="R54" s="43">
        <f t="shared" si="36"/>
        <v>0.36011446740858505</v>
      </c>
      <c r="S54" s="43">
        <f t="shared" si="37"/>
        <v>43.952432432432431</v>
      </c>
      <c r="T54" s="43">
        <f t="shared" si="38"/>
        <v>87.904864864864862</v>
      </c>
      <c r="U54" s="43">
        <f t="shared" si="39"/>
        <v>2.2198198198198195E-4</v>
      </c>
      <c r="V54" s="43">
        <f t="shared" si="40"/>
        <v>1.3953153153153152E-5</v>
      </c>
      <c r="W54" s="43">
        <f t="shared" si="41"/>
        <v>1.5855855855855853E-4</v>
      </c>
      <c r="X54" s="43">
        <f t="shared" si="42"/>
        <v>1.5855855855855853E-13</v>
      </c>
      <c r="Y54" s="205">
        <f t="shared" si="43"/>
        <v>94.459936259113093</v>
      </c>
    </row>
    <row r="55" spans="1:27">
      <c r="A55" s="45" t="s">
        <v>990</v>
      </c>
      <c r="D55">
        <v>700</v>
      </c>
      <c r="F55">
        <v>2.1999999999999999E-2</v>
      </c>
      <c r="G55">
        <v>2</v>
      </c>
      <c r="H55" s="1">
        <f t="shared" si="17"/>
        <v>3.9379999999999994E-6</v>
      </c>
      <c r="I55" s="43">
        <f t="shared" si="1"/>
        <v>4.5422460540540537E-4</v>
      </c>
      <c r="J55" s="1">
        <f t="shared" si="15"/>
        <v>2.9259999999999999E-8</v>
      </c>
      <c r="K55" s="1">
        <f t="shared" si="16"/>
        <v>5.852E-6</v>
      </c>
      <c r="L55" s="43">
        <f t="shared" si="31"/>
        <v>1.6743783783783781E-3</v>
      </c>
      <c r="M55" s="43">
        <f t="shared" si="32"/>
        <v>8.1625945945945936E-4</v>
      </c>
      <c r="N55" s="43">
        <f t="shared" si="33"/>
        <v>1.1162522522522522E-5</v>
      </c>
      <c r="O55" s="43">
        <f t="shared" si="34"/>
        <v>1.0903898856840032E-2</v>
      </c>
      <c r="P55" s="43">
        <f t="shared" si="35"/>
        <v>0.91413672496025422</v>
      </c>
      <c r="Q55" s="43">
        <v>44.36</v>
      </c>
      <c r="R55" s="43">
        <f t="shared" si="36"/>
        <v>0.36011446740858505</v>
      </c>
      <c r="S55" s="43">
        <f t="shared" si="37"/>
        <v>43.952432432432431</v>
      </c>
      <c r="T55" s="43">
        <f t="shared" si="38"/>
        <v>87.904864864864862</v>
      </c>
      <c r="U55" s="43">
        <f t="shared" si="39"/>
        <v>2.2198198198198195E-4</v>
      </c>
      <c r="V55" s="43">
        <f t="shared" si="40"/>
        <v>1.3953153153153152E-5</v>
      </c>
      <c r="W55" s="43">
        <f t="shared" si="41"/>
        <v>1.5855855855855853E-4</v>
      </c>
      <c r="X55" s="43">
        <f t="shared" si="42"/>
        <v>1.5855855855855853E-13</v>
      </c>
      <c r="Y55" s="205">
        <f t="shared" si="43"/>
        <v>94.690579784113112</v>
      </c>
    </row>
    <row r="56" spans="1:27">
      <c r="A56" s="45" t="s">
        <v>991</v>
      </c>
      <c r="D56">
        <v>700</v>
      </c>
      <c r="F56">
        <v>1.6E-2</v>
      </c>
      <c r="G56">
        <v>2</v>
      </c>
      <c r="H56" s="1">
        <f t="shared" si="17"/>
        <v>2.864E-6</v>
      </c>
      <c r="I56" s="43">
        <f t="shared" si="1"/>
        <v>4.5422460540540537E-4</v>
      </c>
      <c r="J56" s="1">
        <f t="shared" si="15"/>
        <v>2.1279999999999999E-8</v>
      </c>
      <c r="K56" s="1">
        <f t="shared" si="16"/>
        <v>4.2560000000000004E-6</v>
      </c>
      <c r="L56" s="43">
        <f t="shared" si="31"/>
        <v>1.6743783783783781E-3</v>
      </c>
      <c r="M56" s="43">
        <f t="shared" si="32"/>
        <v>8.1625945945945936E-4</v>
      </c>
      <c r="N56" s="43">
        <f t="shared" si="33"/>
        <v>1.1162522522522522E-5</v>
      </c>
      <c r="O56" s="43">
        <f t="shared" si="34"/>
        <v>1.0903898856840032E-2</v>
      </c>
      <c r="P56" s="43">
        <f t="shared" si="35"/>
        <v>0.91413672496025422</v>
      </c>
      <c r="Q56" s="43">
        <v>45.36</v>
      </c>
      <c r="R56" s="43">
        <f t="shared" si="36"/>
        <v>0.36011446740858505</v>
      </c>
      <c r="S56" s="43">
        <f t="shared" si="37"/>
        <v>43.952432432432431</v>
      </c>
      <c r="T56" s="43">
        <f t="shared" si="38"/>
        <v>87.904864864864862</v>
      </c>
      <c r="U56" s="43">
        <f t="shared" si="39"/>
        <v>2.2198198198198195E-4</v>
      </c>
      <c r="V56" s="43">
        <f t="shared" si="40"/>
        <v>1.3953153153153152E-5</v>
      </c>
      <c r="W56" s="43">
        <f t="shared" si="41"/>
        <v>1.5855855855855853E-4</v>
      </c>
      <c r="X56" s="43">
        <f t="shared" si="42"/>
        <v>1.5855855855855853E-13</v>
      </c>
      <c r="Y56" s="205">
        <f t="shared" si="43"/>
        <v>94.663293834113105</v>
      </c>
    </row>
    <row r="57" spans="1:27">
      <c r="A57" s="45" t="s">
        <v>992</v>
      </c>
      <c r="D57">
        <v>700</v>
      </c>
      <c r="F57">
        <v>1.0999999999999999E-2</v>
      </c>
      <c r="G57">
        <v>2</v>
      </c>
      <c r="H57" s="1">
        <f t="shared" si="17"/>
        <v>1.9689999999999997E-6</v>
      </c>
      <c r="I57" s="43">
        <f t="shared" si="1"/>
        <v>4.5422460540540537E-4</v>
      </c>
      <c r="J57" s="1">
        <f t="shared" si="15"/>
        <v>1.4629999999999999E-8</v>
      </c>
      <c r="K57" s="1">
        <f t="shared" si="16"/>
        <v>2.926E-6</v>
      </c>
      <c r="L57" s="43">
        <f t="shared" si="31"/>
        <v>1.6743783783783781E-3</v>
      </c>
      <c r="M57" s="43">
        <f t="shared" si="32"/>
        <v>8.1625945945945936E-4</v>
      </c>
      <c r="N57" s="43">
        <f t="shared" si="33"/>
        <v>1.1162522522522522E-5</v>
      </c>
      <c r="O57" s="43">
        <f t="shared" si="34"/>
        <v>1.0903898856840032E-2</v>
      </c>
      <c r="P57" s="43">
        <f t="shared" si="35"/>
        <v>0.91413672496025422</v>
      </c>
      <c r="Q57" s="43">
        <v>46.36</v>
      </c>
      <c r="R57" s="43">
        <f t="shared" si="36"/>
        <v>0.36011446740858505</v>
      </c>
      <c r="S57" s="43">
        <f t="shared" si="37"/>
        <v>43.952432432432431</v>
      </c>
      <c r="T57" s="43">
        <f t="shared" si="38"/>
        <v>87.904864864864862</v>
      </c>
      <c r="U57" s="43">
        <f t="shared" si="39"/>
        <v>2.2198198198198195E-4</v>
      </c>
      <c r="V57" s="43">
        <f t="shared" si="40"/>
        <v>1.3953153153153152E-5</v>
      </c>
      <c r="W57" s="43">
        <f t="shared" si="41"/>
        <v>1.5855855855855853E-4</v>
      </c>
      <c r="X57" s="43">
        <f t="shared" si="42"/>
        <v>1.5855855855855853E-13</v>
      </c>
      <c r="Y57" s="205">
        <f t="shared" si="43"/>
        <v>94.64722220911311</v>
      </c>
    </row>
    <row r="58" spans="1:27">
      <c r="A58" s="45" t="s">
        <v>993</v>
      </c>
      <c r="D58">
        <v>700</v>
      </c>
      <c r="F58">
        <v>1.0999999999999999E-2</v>
      </c>
      <c r="G58">
        <v>2</v>
      </c>
      <c r="H58" s="1">
        <f t="shared" si="17"/>
        <v>1.9689999999999997E-6</v>
      </c>
      <c r="I58" s="43">
        <f t="shared" si="1"/>
        <v>4.5422460540540537E-4</v>
      </c>
      <c r="J58" s="1">
        <f t="shared" si="15"/>
        <v>1.4629999999999999E-8</v>
      </c>
      <c r="K58" s="1">
        <f t="shared" si="16"/>
        <v>2.926E-6</v>
      </c>
      <c r="L58" s="43">
        <f t="shared" si="31"/>
        <v>1.6743783783783781E-3</v>
      </c>
      <c r="M58" s="43">
        <f t="shared" si="32"/>
        <v>8.1625945945945936E-4</v>
      </c>
      <c r="N58" s="43">
        <f t="shared" si="33"/>
        <v>1.1162522522522522E-5</v>
      </c>
      <c r="O58" s="43">
        <f t="shared" si="34"/>
        <v>1.0903898856840032E-2</v>
      </c>
      <c r="P58" s="43">
        <f t="shared" si="35"/>
        <v>0.91413672496025422</v>
      </c>
      <c r="Q58" s="43">
        <v>47.36</v>
      </c>
      <c r="R58" s="43">
        <f t="shared" si="36"/>
        <v>0.36011446740858505</v>
      </c>
      <c r="S58" s="43">
        <f t="shared" si="37"/>
        <v>43.952432432432431</v>
      </c>
      <c r="T58" s="43">
        <f t="shared" si="38"/>
        <v>87.904864864864862</v>
      </c>
      <c r="U58" s="43">
        <f t="shared" si="39"/>
        <v>2.2198198198198195E-4</v>
      </c>
      <c r="V58" s="43">
        <f t="shared" si="40"/>
        <v>1.3953153153153152E-5</v>
      </c>
      <c r="W58" s="43">
        <f t="shared" si="41"/>
        <v>1.5855855855855853E-4</v>
      </c>
      <c r="X58" s="43">
        <f t="shared" si="42"/>
        <v>1.5855855855855853E-13</v>
      </c>
      <c r="Y58" s="205">
        <f t="shared" si="43"/>
        <v>94.687222209113116</v>
      </c>
    </row>
    <row r="59" spans="1:27">
      <c r="A59" s="45" t="s">
        <v>966</v>
      </c>
      <c r="D59">
        <v>700</v>
      </c>
      <c r="F59">
        <v>1.4999999999999999E-2</v>
      </c>
      <c r="G59">
        <v>2.5</v>
      </c>
      <c r="H59" s="1">
        <f t="shared" si="17"/>
        <v>2.6849999999999997E-6</v>
      </c>
      <c r="I59" s="43">
        <f t="shared" si="1"/>
        <v>4.5422460540540537E-4</v>
      </c>
      <c r="J59" s="1">
        <f t="shared" si="15"/>
        <v>1.995E-8</v>
      </c>
      <c r="K59" s="1">
        <f t="shared" si="16"/>
        <v>3.9899999999999999E-6</v>
      </c>
      <c r="L59" s="43">
        <f t="shared" si="31"/>
        <v>1.6743783783783781E-3</v>
      </c>
      <c r="M59" s="43">
        <f t="shared" si="32"/>
        <v>8.1625945945945936E-4</v>
      </c>
      <c r="N59" s="43">
        <f t="shared" si="33"/>
        <v>1.1162522522522522E-5</v>
      </c>
      <c r="O59" s="43">
        <f t="shared" si="34"/>
        <v>1.0903898856840032E-2</v>
      </c>
      <c r="P59" s="43">
        <f t="shared" si="35"/>
        <v>0.91413672496025422</v>
      </c>
      <c r="Q59" s="43">
        <v>48.36</v>
      </c>
      <c r="R59" s="43">
        <f t="shared" si="36"/>
        <v>0.36011446740858505</v>
      </c>
      <c r="S59" s="43">
        <f t="shared" si="37"/>
        <v>43.952432432432431</v>
      </c>
      <c r="T59" s="43">
        <f t="shared" si="38"/>
        <v>87.904864864864862</v>
      </c>
      <c r="U59" s="43">
        <f t="shared" si="39"/>
        <v>2.2198198198198195E-4</v>
      </c>
      <c r="V59" s="43">
        <f t="shared" si="40"/>
        <v>1.3953153153153152E-5</v>
      </c>
      <c r="W59" s="43">
        <f t="shared" si="41"/>
        <v>1.5855855855855853E-4</v>
      </c>
      <c r="X59" s="43">
        <f t="shared" si="42"/>
        <v>1.5855855855855853E-13</v>
      </c>
      <c r="Y59" s="205">
        <f t="shared" si="43"/>
        <v>94.772079509113098</v>
      </c>
    </row>
    <row r="60" spans="1:27" s="8" customFormat="1">
      <c r="A60" s="8" t="s">
        <v>491</v>
      </c>
      <c r="B60"/>
      <c r="C60"/>
      <c r="D60" s="8">
        <v>93</v>
      </c>
      <c r="E60" s="8">
        <v>1.3</v>
      </c>
      <c r="F60" s="8">
        <v>0.02</v>
      </c>
      <c r="H60" s="1">
        <f t="shared" si="17"/>
        <v>3.5799999999999996E-6</v>
      </c>
      <c r="I60" s="43">
        <f t="shared" si="1"/>
        <v>6.0346983289575286E-5</v>
      </c>
      <c r="J60" s="1">
        <f t="shared" si="15"/>
        <v>2.66E-8</v>
      </c>
      <c r="K60" s="1">
        <f t="shared" si="16"/>
        <v>5.3200000000000007E-6</v>
      </c>
      <c r="L60" s="43">
        <f t="shared" si="31"/>
        <v>2.2245312741312736E-4</v>
      </c>
      <c r="M60" s="43">
        <f t="shared" si="32"/>
        <v>1.0844589961389959E-4</v>
      </c>
      <c r="N60" s="43">
        <f t="shared" si="33"/>
        <v>1.4830208494208493E-6</v>
      </c>
      <c r="O60" s="43">
        <f t="shared" si="34"/>
        <v>1.0903898856840032E-2</v>
      </c>
      <c r="P60" s="43">
        <f t="shared" si="35"/>
        <v>0.1214495934590052</v>
      </c>
      <c r="Q60" s="43">
        <v>49.36</v>
      </c>
      <c r="R60" s="43">
        <f t="shared" si="36"/>
        <v>4.7843779241426306E-2</v>
      </c>
      <c r="S60" s="43">
        <f t="shared" si="37"/>
        <v>5.8393945945945944</v>
      </c>
      <c r="T60" s="43">
        <f t="shared" si="38"/>
        <v>11.678789189189189</v>
      </c>
      <c r="U60" s="43">
        <f t="shared" si="39"/>
        <v>2.9491891891891887E-5</v>
      </c>
      <c r="V60" s="43">
        <f t="shared" si="40"/>
        <v>1.8537760617760616E-6</v>
      </c>
      <c r="W60" s="43">
        <f t="shared" si="41"/>
        <v>2.1065637065637062E-5</v>
      </c>
      <c r="X60" s="43">
        <f t="shared" si="42"/>
        <v>2.1065637065637063E-14</v>
      </c>
      <c r="Y60" s="205">
        <f t="shared" si="43"/>
        <v>14.512566953751225</v>
      </c>
      <c r="AA60" s="144"/>
    </row>
    <row r="61" spans="1:27" s="8" customFormat="1">
      <c r="A61" s="8" t="s">
        <v>492</v>
      </c>
      <c r="B61"/>
      <c r="C61"/>
      <c r="D61" s="8">
        <v>480</v>
      </c>
      <c r="E61" s="8">
        <v>1.3</v>
      </c>
      <c r="F61" s="8">
        <v>2.1999999999999999E-2</v>
      </c>
      <c r="H61" s="1">
        <f t="shared" si="17"/>
        <v>3.9379999999999994E-6</v>
      </c>
      <c r="I61" s="43">
        <f t="shared" si="1"/>
        <v>3.1146830084942081E-4</v>
      </c>
      <c r="J61" s="1">
        <f t="shared" si="15"/>
        <v>2.9259999999999999E-8</v>
      </c>
      <c r="K61" s="1">
        <f t="shared" si="16"/>
        <v>5.852E-6</v>
      </c>
      <c r="L61" s="43">
        <f t="shared" si="31"/>
        <v>1.1481451737451736E-3</v>
      </c>
      <c r="M61" s="43">
        <f t="shared" si="32"/>
        <v>5.5972077220077206E-4</v>
      </c>
      <c r="N61" s="43">
        <f t="shared" si="33"/>
        <v>7.6543011583011574E-6</v>
      </c>
      <c r="O61" s="43">
        <f t="shared" si="34"/>
        <v>1.0903898856840032E-2</v>
      </c>
      <c r="P61" s="43">
        <f t="shared" si="35"/>
        <v>0.62683661140131719</v>
      </c>
      <c r="Q61" s="43">
        <v>50.36</v>
      </c>
      <c r="R61" s="43">
        <f t="shared" si="36"/>
        <v>0.24693563479445835</v>
      </c>
      <c r="S61" s="43">
        <f t="shared" si="37"/>
        <v>30.13881081081081</v>
      </c>
      <c r="T61" s="43">
        <f t="shared" si="38"/>
        <v>60.27762162162162</v>
      </c>
      <c r="U61" s="43">
        <f t="shared" si="39"/>
        <v>1.522162162162162E-4</v>
      </c>
      <c r="V61" s="43">
        <f t="shared" si="40"/>
        <v>9.567876447876448E-6</v>
      </c>
      <c r="W61" s="43">
        <f t="shared" si="41"/>
        <v>1.0872586872586871E-4</v>
      </c>
      <c r="X61" s="43">
        <f t="shared" si="42"/>
        <v>1.0872586872586871E-13</v>
      </c>
      <c r="Y61" s="205">
        <f t="shared" si="43"/>
        <v>65.806644825827078</v>
      </c>
      <c r="AA61" s="144"/>
    </row>
    <row r="62" spans="1:27" s="8" customFormat="1">
      <c r="A62" s="8" t="s">
        <v>493</v>
      </c>
      <c r="B62"/>
      <c r="C62"/>
      <c r="D62" s="8">
        <v>630</v>
      </c>
      <c r="E62" s="8">
        <v>1.3</v>
      </c>
      <c r="F62" s="8">
        <v>0.11</v>
      </c>
      <c r="H62" s="1">
        <f t="shared" si="17"/>
        <v>1.969E-5</v>
      </c>
      <c r="I62" s="43">
        <f t="shared" si="1"/>
        <v>4.0880214486486483E-4</v>
      </c>
      <c r="J62" s="1">
        <f t="shared" si="15"/>
        <v>1.4630000000000001E-7</v>
      </c>
      <c r="K62" s="1">
        <f t="shared" si="16"/>
        <v>2.9260000000000001E-5</v>
      </c>
      <c r="L62" s="43">
        <f t="shared" si="31"/>
        <v>1.5069405405405403E-3</v>
      </c>
      <c r="M62" s="43">
        <f t="shared" si="32"/>
        <v>7.3463351351351345E-4</v>
      </c>
      <c r="N62" s="43">
        <f t="shared" si="33"/>
        <v>1.004627027027027E-5</v>
      </c>
      <c r="O62" s="43">
        <f t="shared" si="34"/>
        <v>1.0903898856840032E-2</v>
      </c>
      <c r="P62" s="43">
        <f t="shared" si="35"/>
        <v>0.82272305246422883</v>
      </c>
      <c r="Q62" s="43">
        <v>51.36</v>
      </c>
      <c r="R62" s="43">
        <f t="shared" si="36"/>
        <v>0.32410302066772656</v>
      </c>
      <c r="S62" s="43">
        <f t="shared" si="37"/>
        <v>39.557189189189188</v>
      </c>
      <c r="T62" s="43">
        <f t="shared" si="38"/>
        <v>79.114378378378376</v>
      </c>
      <c r="U62" s="43">
        <f t="shared" si="39"/>
        <v>1.9978378378378376E-4</v>
      </c>
      <c r="V62" s="43">
        <f t="shared" si="40"/>
        <v>1.2557837837837837E-5</v>
      </c>
      <c r="W62" s="43">
        <f t="shared" si="41"/>
        <v>1.4270270270270267E-4</v>
      </c>
      <c r="X62" s="43">
        <f t="shared" si="42"/>
        <v>1.427027027027027E-13</v>
      </c>
      <c r="Y62" s="205">
        <f t="shared" si="43"/>
        <v>86.690733806476644</v>
      </c>
      <c r="AA62" s="144"/>
    </row>
    <row r="63" spans="1:27" s="8" customFormat="1">
      <c r="A63" s="8" t="s">
        <v>494</v>
      </c>
      <c r="B63"/>
      <c r="C63"/>
      <c r="D63" s="8">
        <v>2000</v>
      </c>
      <c r="E63" s="8">
        <v>1.3</v>
      </c>
      <c r="F63" s="8">
        <v>6.5000000000000002E-2</v>
      </c>
      <c r="H63" s="1">
        <f t="shared" si="17"/>
        <v>1.1635E-5</v>
      </c>
      <c r="I63" s="43">
        <f t="shared" si="1"/>
        <v>1.2977845868725867E-3</v>
      </c>
      <c r="J63" s="1">
        <f t="shared" si="15"/>
        <v>8.6449999999999997E-8</v>
      </c>
      <c r="K63" s="1">
        <f t="shared" si="16"/>
        <v>1.7290000000000002E-5</v>
      </c>
      <c r="L63" s="43">
        <f t="shared" si="31"/>
        <v>4.7839382239382227E-3</v>
      </c>
      <c r="M63" s="43">
        <f t="shared" si="32"/>
        <v>2.3321698841698838E-3</v>
      </c>
      <c r="N63" s="43">
        <f t="shared" si="33"/>
        <v>3.1892921492921491E-5</v>
      </c>
      <c r="O63" s="43">
        <f t="shared" si="34"/>
        <v>1.0903898856840032E-2</v>
      </c>
      <c r="P63" s="43">
        <f t="shared" si="35"/>
        <v>2.6118192141721548</v>
      </c>
      <c r="Q63" s="43">
        <v>52.36</v>
      </c>
      <c r="R63" s="43">
        <f t="shared" si="36"/>
        <v>1.0288984783102431</v>
      </c>
      <c r="S63" s="43">
        <f t="shared" si="37"/>
        <v>125.57837837837837</v>
      </c>
      <c r="T63" s="43">
        <f t="shared" si="38"/>
        <v>251.15675675675675</v>
      </c>
      <c r="U63" s="43">
        <f t="shared" si="39"/>
        <v>6.3423423423423413E-4</v>
      </c>
      <c r="V63" s="43">
        <f t="shared" si="40"/>
        <v>3.9866151866151864E-5</v>
      </c>
      <c r="W63" s="43">
        <f t="shared" si="41"/>
        <v>4.5302445302445297E-4</v>
      </c>
      <c r="X63" s="43">
        <f t="shared" si="42"/>
        <v>4.5302445302445299E-13</v>
      </c>
      <c r="Y63" s="205">
        <f t="shared" si="43"/>
        <v>267.58877505807584</v>
      </c>
      <c r="AA63" s="144"/>
    </row>
    <row r="64" spans="1:27" s="8" customFormat="1">
      <c r="A64" s="8" t="s">
        <v>495</v>
      </c>
      <c r="B64"/>
      <c r="C64"/>
      <c r="D64" s="8">
        <v>170</v>
      </c>
      <c r="E64" s="8">
        <v>1.3</v>
      </c>
      <c r="F64" s="8">
        <v>2.5000000000000001E-2</v>
      </c>
      <c r="H64" s="1">
        <f t="shared" si="17"/>
        <v>4.4749999999999995E-6</v>
      </c>
      <c r="I64" s="43">
        <f t="shared" si="1"/>
        <v>1.1031168988416987E-4</v>
      </c>
      <c r="J64" s="1">
        <f t="shared" si="15"/>
        <v>3.3250000000000003E-8</v>
      </c>
      <c r="K64" s="1">
        <f t="shared" si="16"/>
        <v>6.6500000000000007E-6</v>
      </c>
      <c r="L64" s="43">
        <f t="shared" si="31"/>
        <v>4.0663474903474895E-4</v>
      </c>
      <c r="M64" s="43">
        <f t="shared" si="32"/>
        <v>1.9823444015444012E-4</v>
      </c>
      <c r="N64" s="43">
        <f t="shared" si="33"/>
        <v>2.7108983268983265E-6</v>
      </c>
      <c r="O64" s="43">
        <f t="shared" si="34"/>
        <v>1.0903898856840032E-2</v>
      </c>
      <c r="P64" s="43">
        <f t="shared" si="35"/>
        <v>0.22200463320463315</v>
      </c>
      <c r="Q64" s="43">
        <v>53.36</v>
      </c>
      <c r="R64" s="43">
        <f t="shared" si="36"/>
        <v>8.7456370656370658E-2</v>
      </c>
      <c r="S64" s="43">
        <f t="shared" si="37"/>
        <v>10.674162162162162</v>
      </c>
      <c r="T64" s="43">
        <f t="shared" si="38"/>
        <v>21.348324324324324</v>
      </c>
      <c r="U64" s="43">
        <f t="shared" si="39"/>
        <v>5.3909909909909899E-5</v>
      </c>
      <c r="V64" s="43">
        <f t="shared" si="40"/>
        <v>3.3886229086229086E-6</v>
      </c>
      <c r="W64" s="43">
        <f t="shared" si="41"/>
        <v>3.8507078507078499E-5</v>
      </c>
      <c r="X64" s="43">
        <f t="shared" si="42"/>
        <v>3.8507078507078503E-14</v>
      </c>
      <c r="Y64" s="205">
        <f t="shared" si="43"/>
        <v>24.922015814151333</v>
      </c>
      <c r="AA64" s="144"/>
    </row>
    <row r="65" spans="1:27" s="8" customFormat="1">
      <c r="A65" s="8" t="s">
        <v>496</v>
      </c>
      <c r="B65"/>
      <c r="C65"/>
      <c r="D65" s="8">
        <v>530</v>
      </c>
      <c r="E65" s="8">
        <v>1.3</v>
      </c>
      <c r="F65" s="8">
        <v>3.3000000000000002E-2</v>
      </c>
      <c r="H65" s="1">
        <f t="shared" si="17"/>
        <v>5.9069999999999995E-6</v>
      </c>
      <c r="I65" s="43">
        <f t="shared" si="1"/>
        <v>3.4391291552123547E-4</v>
      </c>
      <c r="J65" s="1">
        <f t="shared" si="15"/>
        <v>4.3889999999999998E-8</v>
      </c>
      <c r="K65" s="1">
        <f t="shared" si="16"/>
        <v>8.7780000000000013E-6</v>
      </c>
      <c r="L65" s="43">
        <f t="shared" si="31"/>
        <v>1.2677436293436291E-3</v>
      </c>
      <c r="M65" s="43">
        <f t="shared" si="32"/>
        <v>6.1802501930501919E-4</v>
      </c>
      <c r="N65" s="43">
        <f t="shared" si="33"/>
        <v>8.451624195624195E-6</v>
      </c>
      <c r="O65" s="43">
        <f t="shared" si="34"/>
        <v>1.0903898856840032E-2</v>
      </c>
      <c r="P65" s="43">
        <f t="shared" si="35"/>
        <v>0.69213209175562107</v>
      </c>
      <c r="Q65" s="43">
        <v>54.36</v>
      </c>
      <c r="R65" s="43">
        <f t="shared" si="36"/>
        <v>0.27265809675221442</v>
      </c>
      <c r="S65" s="43">
        <f t="shared" si="37"/>
        <v>33.278270270270269</v>
      </c>
      <c r="T65" s="43">
        <f t="shared" si="38"/>
        <v>66.556540540540539</v>
      </c>
      <c r="U65" s="43">
        <f t="shared" si="39"/>
        <v>1.6807207207207204E-4</v>
      </c>
      <c r="V65" s="43">
        <f t="shared" si="40"/>
        <v>1.0564530244530244E-5</v>
      </c>
      <c r="W65" s="43">
        <f t="shared" si="41"/>
        <v>1.2005148005148003E-4</v>
      </c>
      <c r="X65" s="43">
        <f t="shared" si="42"/>
        <v>1.2005148005148004E-13</v>
      </c>
      <c r="Y65" s="205">
        <f t="shared" si="43"/>
        <v>72.709078527710275</v>
      </c>
      <c r="AA65" s="144"/>
    </row>
    <row r="66" spans="1:27" s="8" customFormat="1">
      <c r="A66" s="48" t="s">
        <v>966</v>
      </c>
      <c r="B66"/>
      <c r="C66"/>
      <c r="D66">
        <v>700</v>
      </c>
      <c r="F66" s="8">
        <v>1.4999999999999999E-2</v>
      </c>
      <c r="H66" s="1">
        <f t="shared" si="17"/>
        <v>2.6849999999999997E-6</v>
      </c>
      <c r="I66" s="43">
        <f t="shared" si="1"/>
        <v>4.5422460540540537E-4</v>
      </c>
      <c r="J66" s="1">
        <f t="shared" si="15"/>
        <v>1.995E-8</v>
      </c>
      <c r="K66" s="1">
        <f t="shared" si="16"/>
        <v>3.9899999999999999E-6</v>
      </c>
      <c r="L66" s="43">
        <f t="shared" si="31"/>
        <v>1.6743783783783781E-3</v>
      </c>
      <c r="M66" s="43">
        <f t="shared" si="32"/>
        <v>8.1625945945945936E-4</v>
      </c>
      <c r="N66" s="43">
        <f t="shared" si="33"/>
        <v>1.1162522522522522E-5</v>
      </c>
      <c r="O66" s="43">
        <f t="shared" si="34"/>
        <v>1.0903898856840032E-2</v>
      </c>
      <c r="P66" s="43">
        <f t="shared" si="35"/>
        <v>0.91413672496025422</v>
      </c>
      <c r="Q66" s="43">
        <v>55.36</v>
      </c>
      <c r="R66" s="43">
        <f t="shared" si="36"/>
        <v>0.36011446740858505</v>
      </c>
      <c r="S66" s="43">
        <f t="shared" si="37"/>
        <v>43.952432432432431</v>
      </c>
      <c r="T66" s="43">
        <f t="shared" si="38"/>
        <v>87.904864864864862</v>
      </c>
      <c r="U66" s="43">
        <f t="shared" si="39"/>
        <v>2.2198198198198195E-4</v>
      </c>
      <c r="V66" s="43">
        <f t="shared" si="40"/>
        <v>1.3953153153153152E-5</v>
      </c>
      <c r="W66" s="43">
        <f t="shared" si="41"/>
        <v>1.5855855855855853E-4</v>
      </c>
      <c r="X66" s="43">
        <f t="shared" si="42"/>
        <v>1.5855855855855853E-13</v>
      </c>
      <c r="Y66" s="205">
        <f t="shared" si="43"/>
        <v>95.052079509113099</v>
      </c>
      <c r="AA66" s="144"/>
    </row>
    <row r="67" spans="1:27">
      <c r="A67" t="s">
        <v>761</v>
      </c>
      <c r="D67">
        <v>2</v>
      </c>
      <c r="E67">
        <v>1.2</v>
      </c>
      <c r="H67" s="1">
        <f t="shared" si="17"/>
        <v>0</v>
      </c>
      <c r="I67" s="43">
        <f t="shared" si="1"/>
        <v>1.2977845868725867E-6</v>
      </c>
      <c r="J67" s="1">
        <f t="shared" si="15"/>
        <v>0</v>
      </c>
      <c r="K67" s="1">
        <f t="shared" si="16"/>
        <v>0</v>
      </c>
      <c r="L67" s="43">
        <f t="shared" si="31"/>
        <v>4.7839382239382231E-6</v>
      </c>
      <c r="M67" s="43">
        <f t="shared" si="32"/>
        <v>2.3321698841698838E-6</v>
      </c>
      <c r="N67" s="43">
        <f t="shared" si="33"/>
        <v>3.1892921492921491E-8</v>
      </c>
      <c r="O67" s="43">
        <f t="shared" si="34"/>
        <v>1.0903898856840032E-2</v>
      </c>
      <c r="P67" s="43">
        <f t="shared" si="35"/>
        <v>2.6118192141721549E-3</v>
      </c>
      <c r="Q67" s="43">
        <v>56.36</v>
      </c>
      <c r="R67" s="43">
        <f t="shared" si="36"/>
        <v>1.0288984783102431E-3</v>
      </c>
      <c r="S67" s="43">
        <f t="shared" si="37"/>
        <v>0.12557837837837837</v>
      </c>
      <c r="T67" s="43">
        <f t="shared" si="38"/>
        <v>0.25115675675675675</v>
      </c>
      <c r="U67" s="43">
        <f t="shared" si="39"/>
        <v>6.3423423423423414E-7</v>
      </c>
      <c r="V67" s="43">
        <f t="shared" si="40"/>
        <v>3.9866151866151864E-8</v>
      </c>
      <c r="W67" s="43">
        <f t="shared" si="41"/>
        <v>4.5302445302445296E-7</v>
      </c>
      <c r="X67" s="43">
        <f t="shared" si="42"/>
        <v>4.5302445302445297E-16</v>
      </c>
      <c r="Y67" s="205">
        <f t="shared" si="43"/>
        <v>2.5215619028238323</v>
      </c>
    </row>
    <row r="68" spans="1:27">
      <c r="A68" s="45" t="s">
        <v>276</v>
      </c>
      <c r="D68">
        <v>13856</v>
      </c>
      <c r="E68">
        <v>1.2</v>
      </c>
      <c r="H68" s="1">
        <f t="shared" ref="H68:H109" si="44">F68*0.000179</f>
        <v>0</v>
      </c>
      <c r="I68" s="43">
        <f t="shared" ref="I68:I131" si="45">charco2yoll*D68</f>
        <v>8.9910516178532806E-3</v>
      </c>
      <c r="J68" s="1">
        <f t="shared" si="15"/>
        <v>0</v>
      </c>
      <c r="K68" s="1">
        <f t="shared" si="16"/>
        <v>0</v>
      </c>
      <c r="L68" s="43">
        <f t="shared" si="31"/>
        <v>3.314312401544401E-2</v>
      </c>
      <c r="M68" s="43">
        <f t="shared" si="32"/>
        <v>1.6157272957528956E-2</v>
      </c>
      <c r="N68" s="43">
        <f t="shared" si="33"/>
        <v>2.2095416010296009E-4</v>
      </c>
      <c r="O68" s="43">
        <f t="shared" si="34"/>
        <v>1.0903898856840032E-2</v>
      </c>
      <c r="P68" s="43">
        <f t="shared" si="35"/>
        <v>18.094683515784688</v>
      </c>
      <c r="Q68" s="43">
        <v>57.36</v>
      </c>
      <c r="R68" s="43">
        <f t="shared" si="36"/>
        <v>7.1282086577333637</v>
      </c>
      <c r="S68" s="43">
        <f t="shared" si="37"/>
        <v>870.00700540540538</v>
      </c>
      <c r="T68" s="43">
        <f t="shared" si="38"/>
        <v>1740.0140108108108</v>
      </c>
      <c r="U68" s="43">
        <f t="shared" si="39"/>
        <v>4.393974774774774E-3</v>
      </c>
      <c r="V68" s="43">
        <f t="shared" si="40"/>
        <v>2.7619270012870011E-4</v>
      </c>
      <c r="W68" s="43">
        <f t="shared" si="41"/>
        <v>3.1385534105534099E-3</v>
      </c>
      <c r="X68" s="43">
        <f t="shared" si="42"/>
        <v>3.1385534105534103E-12</v>
      </c>
      <c r="Y68" s="205">
        <f t="shared" si="43"/>
        <v>1836.5751751396169</v>
      </c>
    </row>
    <row r="69" spans="1:27">
      <c r="A69" s="45" t="s">
        <v>277</v>
      </c>
      <c r="D69">
        <v>817</v>
      </c>
      <c r="E69">
        <v>1.2</v>
      </c>
      <c r="H69" s="1">
        <f t="shared" si="44"/>
        <v>0</v>
      </c>
      <c r="I69" s="43">
        <f t="shared" si="45"/>
        <v>5.3014500373745163E-4</v>
      </c>
      <c r="J69" s="1">
        <f t="shared" ref="J69:J132" si="46">F69*0.00000133</f>
        <v>0</v>
      </c>
      <c r="K69" s="1">
        <f t="shared" ref="K69:K132" si="47">F69*0.000266</f>
        <v>0</v>
      </c>
      <c r="L69" s="43">
        <f t="shared" si="31"/>
        <v>1.9542387644787642E-3</v>
      </c>
      <c r="M69" s="43">
        <f t="shared" si="32"/>
        <v>9.5269139768339758E-4</v>
      </c>
      <c r="N69" s="43">
        <f t="shared" si="33"/>
        <v>1.3028258429858428E-5</v>
      </c>
      <c r="O69" s="43">
        <f t="shared" si="34"/>
        <v>1.0903898856840032E-2</v>
      </c>
      <c r="P69" s="43">
        <f t="shared" si="35"/>
        <v>1.0669281489893252</v>
      </c>
      <c r="Q69" s="43">
        <v>58.36</v>
      </c>
      <c r="R69" s="43">
        <f t="shared" si="36"/>
        <v>0.42030502838973427</v>
      </c>
      <c r="S69" s="43">
        <f t="shared" si="37"/>
        <v>51.298767567567566</v>
      </c>
      <c r="T69" s="43">
        <f t="shared" si="38"/>
        <v>102.59753513513513</v>
      </c>
      <c r="U69" s="43">
        <f t="shared" si="39"/>
        <v>2.5908468468468463E-4</v>
      </c>
      <c r="V69" s="43">
        <f t="shared" si="40"/>
        <v>1.6285323037323037E-5</v>
      </c>
      <c r="W69" s="43">
        <f t="shared" si="41"/>
        <v>1.8506048906048904E-4</v>
      </c>
      <c r="X69" s="43">
        <f t="shared" si="42"/>
        <v>1.8506048906048905E-13</v>
      </c>
      <c r="Y69" s="205">
        <f t="shared" si="43"/>
        <v>110.49250277101972</v>
      </c>
    </row>
    <row r="70" spans="1:27">
      <c r="A70" s="45" t="s">
        <v>762</v>
      </c>
      <c r="D70">
        <v>141</v>
      </c>
      <c r="E70">
        <v>1.2</v>
      </c>
      <c r="H70" s="1">
        <f t="shared" si="44"/>
        <v>0</v>
      </c>
      <c r="I70" s="43">
        <f t="shared" si="45"/>
        <v>9.149381337451737E-5</v>
      </c>
      <c r="J70" s="1">
        <f t="shared" si="46"/>
        <v>0</v>
      </c>
      <c r="K70" s="1">
        <f t="shared" si="47"/>
        <v>0</v>
      </c>
      <c r="L70" s="43">
        <f t="shared" si="31"/>
        <v>3.3726764478764475E-4</v>
      </c>
      <c r="M70" s="43">
        <f t="shared" si="32"/>
        <v>1.6441797683397681E-4</v>
      </c>
      <c r="N70" s="43">
        <f t="shared" si="33"/>
        <v>2.2484509652509649E-6</v>
      </c>
      <c r="O70" s="43">
        <f t="shared" si="34"/>
        <v>1.0903898856840032E-2</v>
      </c>
      <c r="P70" s="43">
        <f t="shared" si="35"/>
        <v>0.18413325459913693</v>
      </c>
      <c r="Q70" s="43">
        <v>59.36</v>
      </c>
      <c r="R70" s="43">
        <f t="shared" si="36"/>
        <v>7.2537342720872131E-2</v>
      </c>
      <c r="S70" s="43">
        <f t="shared" si="37"/>
        <v>8.8532756756756754</v>
      </c>
      <c r="T70" s="43">
        <f t="shared" si="38"/>
        <v>17.706551351351351</v>
      </c>
      <c r="U70" s="43">
        <f t="shared" si="39"/>
        <v>4.4713513513513508E-5</v>
      </c>
      <c r="V70" s="43">
        <f t="shared" si="40"/>
        <v>2.8105637065637064E-6</v>
      </c>
      <c r="W70" s="43">
        <f t="shared" si="41"/>
        <v>3.1938223938223933E-5</v>
      </c>
      <c r="X70" s="43">
        <f t="shared" si="42"/>
        <v>3.1938223938223935E-14</v>
      </c>
      <c r="Y70" s="205">
        <f t="shared" si="43"/>
        <v>21.042593535559092</v>
      </c>
    </row>
    <row r="71" spans="1:27" s="8" customFormat="1">
      <c r="A71" s="48" t="s">
        <v>278</v>
      </c>
      <c r="B71"/>
      <c r="C71"/>
      <c r="D71" s="8">
        <v>1600</v>
      </c>
      <c r="E71" s="8">
        <v>1.3</v>
      </c>
      <c r="H71" s="1">
        <f t="shared" si="44"/>
        <v>0</v>
      </c>
      <c r="I71" s="43">
        <f t="shared" si="45"/>
        <v>1.0382276694980695E-3</v>
      </c>
      <c r="J71" s="1">
        <f t="shared" si="46"/>
        <v>0</v>
      </c>
      <c r="K71" s="1">
        <f t="shared" si="47"/>
        <v>0</v>
      </c>
      <c r="L71" s="43">
        <f t="shared" si="31"/>
        <v>3.8271505791505787E-3</v>
      </c>
      <c r="M71" s="43">
        <f t="shared" si="32"/>
        <v>1.865735907335907E-3</v>
      </c>
      <c r="N71" s="43">
        <f t="shared" si="33"/>
        <v>2.5514337194337193E-5</v>
      </c>
      <c r="O71" s="43">
        <f t="shared" si="34"/>
        <v>1.0903898856840032E-2</v>
      </c>
      <c r="P71" s="43">
        <f t="shared" si="35"/>
        <v>2.0894553713377237</v>
      </c>
      <c r="Q71" s="43">
        <v>60.36</v>
      </c>
      <c r="R71" s="43">
        <f t="shared" si="36"/>
        <v>0.82311878264819449</v>
      </c>
      <c r="S71" s="43">
        <f t="shared" si="37"/>
        <v>100.4627027027027</v>
      </c>
      <c r="T71" s="43">
        <f t="shared" si="38"/>
        <v>200.9254054054054</v>
      </c>
      <c r="U71" s="43">
        <f t="shared" si="39"/>
        <v>5.0738738738738734E-4</v>
      </c>
      <c r="V71" s="43">
        <f t="shared" si="40"/>
        <v>3.1892921492921491E-5</v>
      </c>
      <c r="W71" s="43">
        <f t="shared" si="41"/>
        <v>3.6241956241956237E-4</v>
      </c>
      <c r="X71" s="43">
        <f t="shared" si="42"/>
        <v>3.6241956241956237E-13</v>
      </c>
      <c r="Y71" s="205">
        <f t="shared" si="43"/>
        <v>214.22723491801045</v>
      </c>
      <c r="AA71" s="144" t="s">
        <v>1047</v>
      </c>
    </row>
    <row r="72" spans="1:27">
      <c r="A72" s="45" t="s">
        <v>279</v>
      </c>
      <c r="D72">
        <v>3691</v>
      </c>
      <c r="E72">
        <v>1.2</v>
      </c>
      <c r="H72" s="1">
        <f t="shared" si="44"/>
        <v>0</v>
      </c>
      <c r="I72" s="43">
        <f t="shared" si="45"/>
        <v>2.3950614550733587E-3</v>
      </c>
      <c r="J72" s="1">
        <f t="shared" si="46"/>
        <v>0</v>
      </c>
      <c r="K72" s="1">
        <f t="shared" si="47"/>
        <v>0</v>
      </c>
      <c r="L72" s="43">
        <f t="shared" si="31"/>
        <v>8.8287579922779903E-3</v>
      </c>
      <c r="M72" s="43">
        <f t="shared" si="32"/>
        <v>4.304019521235521E-3</v>
      </c>
      <c r="N72" s="43">
        <f t="shared" si="33"/>
        <v>5.8858386615186613E-5</v>
      </c>
      <c r="O72" s="43">
        <f t="shared" si="34"/>
        <v>1.0903898856840032E-2</v>
      </c>
      <c r="P72" s="43">
        <f t="shared" si="35"/>
        <v>4.8201123597547122</v>
      </c>
      <c r="Q72" s="43">
        <v>61.36</v>
      </c>
      <c r="R72" s="43">
        <f t="shared" si="36"/>
        <v>1.8988321417215537</v>
      </c>
      <c r="S72" s="43">
        <f t="shared" si="37"/>
        <v>231.7548972972973</v>
      </c>
      <c r="T72" s="43">
        <f t="shared" si="38"/>
        <v>463.50979459459461</v>
      </c>
      <c r="U72" s="43">
        <f t="shared" si="39"/>
        <v>1.1704792792792791E-3</v>
      </c>
      <c r="V72" s="43">
        <f t="shared" si="40"/>
        <v>7.3572983268983263E-5</v>
      </c>
      <c r="W72" s="43">
        <f t="shared" si="41"/>
        <v>8.3605662805662792E-4</v>
      </c>
      <c r="X72" s="43">
        <f t="shared" si="42"/>
        <v>8.36056628056628E-13</v>
      </c>
      <c r="Y72" s="205">
        <f t="shared" si="43"/>
        <v>491.07699854426528</v>
      </c>
    </row>
    <row r="73" spans="1:27">
      <c r="A73" s="45" t="s">
        <v>280</v>
      </c>
      <c r="D73">
        <v>1337</v>
      </c>
      <c r="E73">
        <v>1.2</v>
      </c>
      <c r="H73" s="1">
        <f t="shared" si="44"/>
        <v>0</v>
      </c>
      <c r="I73" s="43">
        <f t="shared" si="45"/>
        <v>8.6756899632432424E-4</v>
      </c>
      <c r="J73" s="1">
        <f t="shared" si="46"/>
        <v>0</v>
      </c>
      <c r="K73" s="1">
        <f t="shared" si="47"/>
        <v>0</v>
      </c>
      <c r="L73" s="43">
        <f t="shared" si="31"/>
        <v>3.1980627027027022E-3</v>
      </c>
      <c r="M73" s="43">
        <f t="shared" si="32"/>
        <v>1.5590555675675673E-3</v>
      </c>
      <c r="N73" s="43">
        <f t="shared" si="33"/>
        <v>2.1320418018018016E-5</v>
      </c>
      <c r="O73" s="43">
        <f t="shared" si="34"/>
        <v>1.0903898856840032E-2</v>
      </c>
      <c r="P73" s="43">
        <f t="shared" si="35"/>
        <v>1.7460011446740855</v>
      </c>
      <c r="Q73" s="43">
        <v>62.36</v>
      </c>
      <c r="R73" s="43">
        <f t="shared" si="36"/>
        <v>0.68781863275039745</v>
      </c>
      <c r="S73" s="43">
        <f t="shared" si="37"/>
        <v>83.949145945945943</v>
      </c>
      <c r="T73" s="43">
        <f t="shared" si="38"/>
        <v>167.89829189189189</v>
      </c>
      <c r="U73" s="43">
        <f t="shared" si="39"/>
        <v>4.2398558558558554E-4</v>
      </c>
      <c r="V73" s="43">
        <f t="shared" si="40"/>
        <v>2.6650522522522521E-5</v>
      </c>
      <c r="W73" s="43">
        <f t="shared" si="41"/>
        <v>3.0284684684684683E-4</v>
      </c>
      <c r="X73" s="43">
        <f t="shared" si="42"/>
        <v>3.0284684684684679E-13</v>
      </c>
      <c r="Y73" s="205">
        <f t="shared" si="43"/>
        <v>179.49089449060492</v>
      </c>
    </row>
    <row r="74" spans="1:27">
      <c r="A74" s="45" t="s">
        <v>281</v>
      </c>
      <c r="D74">
        <v>1549</v>
      </c>
      <c r="E74">
        <v>1.2</v>
      </c>
      <c r="H74" s="1">
        <f t="shared" si="44"/>
        <v>0</v>
      </c>
      <c r="I74" s="43">
        <f t="shared" si="45"/>
        <v>1.0051341625328183E-3</v>
      </c>
      <c r="J74" s="1">
        <f t="shared" si="46"/>
        <v>0</v>
      </c>
      <c r="K74" s="1">
        <f t="shared" si="47"/>
        <v>0</v>
      </c>
      <c r="L74" s="43">
        <f t="shared" si="31"/>
        <v>3.7051601544401537E-3</v>
      </c>
      <c r="M74" s="43">
        <f t="shared" si="32"/>
        <v>1.8062655752895749E-3</v>
      </c>
      <c r="N74" s="43">
        <f t="shared" si="33"/>
        <v>2.4701067696267696E-5</v>
      </c>
      <c r="O74" s="43">
        <f t="shared" si="34"/>
        <v>1.0903898856840032E-2</v>
      </c>
      <c r="P74" s="43">
        <f t="shared" si="35"/>
        <v>2.022853981376334</v>
      </c>
      <c r="Q74" s="43">
        <v>63.36</v>
      </c>
      <c r="R74" s="43">
        <f t="shared" si="36"/>
        <v>0.79688187145128331</v>
      </c>
      <c r="S74" s="43">
        <f t="shared" si="37"/>
        <v>97.260454054054051</v>
      </c>
      <c r="T74" s="43">
        <f t="shared" si="38"/>
        <v>194.5209081081081</v>
      </c>
      <c r="U74" s="43">
        <f t="shared" si="39"/>
        <v>4.9121441441441437E-4</v>
      </c>
      <c r="V74" s="43">
        <f t="shared" si="40"/>
        <v>3.0876334620334615E-5</v>
      </c>
      <c r="W74" s="43">
        <f t="shared" si="41"/>
        <v>3.508674388674388E-4</v>
      </c>
      <c r="X74" s="43">
        <f t="shared" si="42"/>
        <v>3.5086743886743884E-13</v>
      </c>
      <c r="Y74" s="205">
        <f t="shared" si="43"/>
        <v>207.59577726858959</v>
      </c>
    </row>
    <row r="75" spans="1:27">
      <c r="A75" s="45" t="s">
        <v>283</v>
      </c>
      <c r="D75">
        <v>397</v>
      </c>
      <c r="E75">
        <v>1.2</v>
      </c>
      <c r="H75" s="1">
        <f t="shared" si="44"/>
        <v>0</v>
      </c>
      <c r="I75" s="43">
        <f t="shared" si="45"/>
        <v>2.5761024049420845E-4</v>
      </c>
      <c r="J75" s="1">
        <f t="shared" si="46"/>
        <v>0</v>
      </c>
      <c r="K75" s="1">
        <f t="shared" si="47"/>
        <v>0</v>
      </c>
      <c r="L75" s="43">
        <f t="shared" si="31"/>
        <v>9.4961173745173732E-4</v>
      </c>
      <c r="M75" s="43">
        <f t="shared" si="32"/>
        <v>4.6293572200772193E-4</v>
      </c>
      <c r="N75" s="43">
        <f t="shared" si="33"/>
        <v>6.3307449163449162E-6</v>
      </c>
      <c r="O75" s="43">
        <f t="shared" si="34"/>
        <v>1.0903898856840032E-2</v>
      </c>
      <c r="P75" s="43">
        <f t="shared" si="35"/>
        <v>0.51844611401317275</v>
      </c>
      <c r="Q75" s="43">
        <v>64.36</v>
      </c>
      <c r="R75" s="43">
        <f t="shared" si="36"/>
        <v>0.20423634794458326</v>
      </c>
      <c r="S75" s="43">
        <f t="shared" si="37"/>
        <v>24.927308108108107</v>
      </c>
      <c r="T75" s="43">
        <f t="shared" si="38"/>
        <v>49.854616216216215</v>
      </c>
      <c r="U75" s="43">
        <f t="shared" si="39"/>
        <v>1.2589549549549546E-4</v>
      </c>
      <c r="V75" s="43">
        <f t="shared" si="40"/>
        <v>7.913431145431145E-6</v>
      </c>
      <c r="W75" s="43">
        <f t="shared" si="41"/>
        <v>8.9925353925353912E-5</v>
      </c>
      <c r="X75" s="43">
        <f t="shared" si="42"/>
        <v>8.9925353925353909E-14</v>
      </c>
      <c r="Y75" s="205">
        <f t="shared" si="43"/>
        <v>55.132263305200993</v>
      </c>
    </row>
    <row r="76" spans="1:27">
      <c r="A76" s="45" t="s">
        <v>284</v>
      </c>
      <c r="D76">
        <v>5508</v>
      </c>
      <c r="E76">
        <v>1.2</v>
      </c>
      <c r="H76" s="1">
        <f t="shared" si="44"/>
        <v>0</v>
      </c>
      <c r="I76" s="43">
        <f t="shared" si="45"/>
        <v>3.574098752247104E-3</v>
      </c>
      <c r="J76" s="1">
        <f t="shared" si="46"/>
        <v>0</v>
      </c>
      <c r="K76" s="1">
        <f t="shared" si="47"/>
        <v>0</v>
      </c>
      <c r="L76" s="43">
        <f t="shared" si="31"/>
        <v>1.3174965868725866E-2</v>
      </c>
      <c r="M76" s="43">
        <f t="shared" si="32"/>
        <v>6.4227958610038596E-3</v>
      </c>
      <c r="N76" s="43">
        <f t="shared" si="33"/>
        <v>8.7833105791505789E-5</v>
      </c>
      <c r="O76" s="43">
        <f t="shared" si="34"/>
        <v>1.0903898856840032E-2</v>
      </c>
      <c r="P76" s="43">
        <f t="shared" si="35"/>
        <v>7.1929501158301141</v>
      </c>
      <c r="Q76" s="43">
        <v>65.36</v>
      </c>
      <c r="R76" s="43">
        <f t="shared" si="36"/>
        <v>2.8335864092664096</v>
      </c>
      <c r="S76" s="43">
        <f t="shared" si="37"/>
        <v>345.84285405405404</v>
      </c>
      <c r="T76" s="43">
        <f t="shared" si="38"/>
        <v>691.68570810810809</v>
      </c>
      <c r="U76" s="43">
        <f t="shared" si="39"/>
        <v>1.7466810810810808E-3</v>
      </c>
      <c r="V76" s="43">
        <f t="shared" si="40"/>
        <v>1.0979138223938223E-4</v>
      </c>
      <c r="W76" s="43">
        <f t="shared" si="41"/>
        <v>1.2476293436293434E-3</v>
      </c>
      <c r="X76" s="43">
        <f t="shared" si="42"/>
        <v>1.2476293436293435E-12</v>
      </c>
      <c r="Y76" s="205">
        <f t="shared" si="43"/>
        <v>731.77422499520026</v>
      </c>
    </row>
    <row r="77" spans="1:27">
      <c r="A77" s="45" t="s">
        <v>764</v>
      </c>
      <c r="D77">
        <v>20</v>
      </c>
      <c r="E77">
        <v>1.2</v>
      </c>
      <c r="H77" s="1">
        <f t="shared" si="44"/>
        <v>0</v>
      </c>
      <c r="I77" s="43">
        <f t="shared" si="45"/>
        <v>1.2977845868725867E-5</v>
      </c>
      <c r="J77" s="1">
        <f t="shared" si="46"/>
        <v>0</v>
      </c>
      <c r="K77" s="1">
        <f t="shared" si="47"/>
        <v>0</v>
      </c>
      <c r="L77" s="43">
        <f t="shared" si="31"/>
        <v>4.783938223938223E-5</v>
      </c>
      <c r="M77" s="43">
        <f t="shared" si="32"/>
        <v>2.3321698841698837E-5</v>
      </c>
      <c r="N77" s="43">
        <f t="shared" si="33"/>
        <v>3.1892921492921491E-7</v>
      </c>
      <c r="O77" s="43">
        <f t="shared" si="34"/>
        <v>1.0903898856840032E-2</v>
      </c>
      <c r="P77" s="43">
        <f t="shared" si="35"/>
        <v>2.611819214172155E-2</v>
      </c>
      <c r="Q77" s="43">
        <v>66.36</v>
      </c>
      <c r="R77" s="43">
        <f t="shared" si="36"/>
        <v>1.0288984783102431E-2</v>
      </c>
      <c r="S77" s="43">
        <f t="shared" si="37"/>
        <v>1.2557837837837837</v>
      </c>
      <c r="T77" s="43">
        <f t="shared" si="38"/>
        <v>2.5115675675675675</v>
      </c>
      <c r="U77" s="43">
        <f t="shared" si="39"/>
        <v>6.3423423423423418E-6</v>
      </c>
      <c r="V77" s="43">
        <f t="shared" si="40"/>
        <v>3.9866151866151865E-7</v>
      </c>
      <c r="W77" s="43">
        <f t="shared" si="41"/>
        <v>4.5302445302445297E-6</v>
      </c>
      <c r="X77" s="43">
        <f t="shared" si="42"/>
        <v>4.5302445302445295E-15</v>
      </c>
      <c r="Y77" s="205">
        <f t="shared" si="43"/>
        <v>5.3044293085017769</v>
      </c>
    </row>
    <row r="78" spans="1:27">
      <c r="A78" s="45" t="s">
        <v>282</v>
      </c>
      <c r="D78">
        <v>167</v>
      </c>
      <c r="E78">
        <v>1.2</v>
      </c>
      <c r="H78" s="1">
        <f t="shared" si="44"/>
        <v>0</v>
      </c>
      <c r="I78" s="43">
        <f t="shared" si="45"/>
        <v>1.0836501300386099E-4</v>
      </c>
      <c r="J78" s="1">
        <f t="shared" si="46"/>
        <v>0</v>
      </c>
      <c r="K78" s="1">
        <f t="shared" si="47"/>
        <v>0</v>
      </c>
      <c r="L78" s="43">
        <f t="shared" si="31"/>
        <v>3.9945884169884164E-4</v>
      </c>
      <c r="M78" s="43">
        <f t="shared" si="32"/>
        <v>1.9473618532818529E-4</v>
      </c>
      <c r="N78" s="43">
        <f t="shared" si="33"/>
        <v>2.6630589446589443E-6</v>
      </c>
      <c r="O78" s="43">
        <f t="shared" si="34"/>
        <v>1.0903898856840032E-2</v>
      </c>
      <c r="P78" s="43">
        <f t="shared" si="35"/>
        <v>0.21808690438337494</v>
      </c>
      <c r="Q78" s="43">
        <v>67.36</v>
      </c>
      <c r="R78" s="43">
        <f t="shared" si="36"/>
        <v>8.5913022938905292E-2</v>
      </c>
      <c r="S78" s="43">
        <f t="shared" si="37"/>
        <v>10.485794594594594</v>
      </c>
      <c r="T78" s="43">
        <f t="shared" si="38"/>
        <v>20.971589189189189</v>
      </c>
      <c r="U78" s="43">
        <f t="shared" si="39"/>
        <v>5.2958558558558553E-5</v>
      </c>
      <c r="V78" s="43">
        <f t="shared" si="40"/>
        <v>3.3288236808236808E-6</v>
      </c>
      <c r="W78" s="43">
        <f t="shared" si="41"/>
        <v>3.782754182754182E-5</v>
      </c>
      <c r="X78" s="43">
        <f t="shared" si="42"/>
        <v>3.7827541827541825E-14</v>
      </c>
      <c r="Y78" s="205">
        <f t="shared" si="43"/>
        <v>24.804513121538342</v>
      </c>
    </row>
    <row r="79" spans="1:27">
      <c r="A79" s="45" t="s">
        <v>765</v>
      </c>
      <c r="D79">
        <v>4</v>
      </c>
      <c r="E79">
        <v>1.2</v>
      </c>
      <c r="H79" s="1">
        <f t="shared" si="44"/>
        <v>0</v>
      </c>
      <c r="I79" s="43">
        <f t="shared" si="45"/>
        <v>2.5955691737451735E-6</v>
      </c>
      <c r="J79" s="1">
        <f t="shared" si="46"/>
        <v>0</v>
      </c>
      <c r="K79" s="1">
        <f t="shared" si="47"/>
        <v>0</v>
      </c>
      <c r="L79" s="43">
        <f t="shared" si="31"/>
        <v>9.5678764478764463E-6</v>
      </c>
      <c r="M79" s="43">
        <f t="shared" si="32"/>
        <v>4.6643397683397676E-6</v>
      </c>
      <c r="N79" s="43">
        <f t="shared" si="33"/>
        <v>6.3785842985842982E-8</v>
      </c>
      <c r="O79" s="43">
        <f t="shared" si="34"/>
        <v>1.0903898856840032E-2</v>
      </c>
      <c r="P79" s="43">
        <f t="shared" si="35"/>
        <v>5.2236384283443097E-3</v>
      </c>
      <c r="Q79" s="43">
        <v>68.36</v>
      </c>
      <c r="R79" s="43">
        <f t="shared" si="36"/>
        <v>2.0577969566204861E-3</v>
      </c>
      <c r="S79" s="43">
        <f t="shared" si="37"/>
        <v>0.25115675675675675</v>
      </c>
      <c r="T79" s="43">
        <f t="shared" si="38"/>
        <v>0.5023135135135135</v>
      </c>
      <c r="U79" s="43">
        <f t="shared" si="39"/>
        <v>1.2684684684684683E-6</v>
      </c>
      <c r="V79" s="43">
        <f t="shared" si="40"/>
        <v>7.9732303732303727E-8</v>
      </c>
      <c r="W79" s="43">
        <f t="shared" si="41"/>
        <v>9.0604890604890593E-7</v>
      </c>
      <c r="X79" s="43">
        <f t="shared" si="42"/>
        <v>9.0604890604890594E-16</v>
      </c>
      <c r="Y79" s="205">
        <f t="shared" si="43"/>
        <v>3.2663249478991592</v>
      </c>
    </row>
    <row r="80" spans="1:27">
      <c r="A80" s="45" t="s">
        <v>766</v>
      </c>
      <c r="D80">
        <v>3077</v>
      </c>
      <c r="E80">
        <v>1.2</v>
      </c>
      <c r="H80" s="1">
        <f t="shared" si="44"/>
        <v>0</v>
      </c>
      <c r="I80" s="43">
        <f t="shared" si="45"/>
        <v>1.9966415869034746E-3</v>
      </c>
      <c r="J80" s="1">
        <f t="shared" si="46"/>
        <v>0</v>
      </c>
      <c r="K80" s="1">
        <f t="shared" si="47"/>
        <v>0</v>
      </c>
      <c r="L80" s="43">
        <f t="shared" si="31"/>
        <v>7.3600889575289562E-3</v>
      </c>
      <c r="M80" s="43">
        <f t="shared" si="32"/>
        <v>3.5880433667953662E-3</v>
      </c>
      <c r="N80" s="43">
        <f t="shared" si="33"/>
        <v>4.9067259716859716E-5</v>
      </c>
      <c r="O80" s="43">
        <f t="shared" si="34"/>
        <v>1.0903898856840032E-2</v>
      </c>
      <c r="P80" s="43">
        <f t="shared" si="35"/>
        <v>4.0182838610038605</v>
      </c>
      <c r="Q80" s="43">
        <v>69.36</v>
      </c>
      <c r="R80" s="43">
        <f t="shared" si="36"/>
        <v>1.582960308880309</v>
      </c>
      <c r="S80" s="43">
        <f t="shared" si="37"/>
        <v>193.20233513513512</v>
      </c>
      <c r="T80" s="43">
        <f t="shared" si="38"/>
        <v>386.40467027027023</v>
      </c>
      <c r="U80" s="43">
        <f t="shared" si="39"/>
        <v>9.7576936936936921E-4</v>
      </c>
      <c r="V80" s="43">
        <f t="shared" si="40"/>
        <v>6.1334074646074647E-5</v>
      </c>
      <c r="W80" s="43">
        <f t="shared" si="41"/>
        <v>6.9697812097812087E-4</v>
      </c>
      <c r="X80" s="43">
        <f t="shared" si="42"/>
        <v>6.9697812097812089E-13</v>
      </c>
      <c r="Y80" s="205">
        <f t="shared" si="43"/>
        <v>410.11474370613979</v>
      </c>
    </row>
    <row r="81" spans="1:27">
      <c r="A81" s="45" t="s">
        <v>285</v>
      </c>
      <c r="D81">
        <v>3860</v>
      </c>
      <c r="E81">
        <v>1.2</v>
      </c>
      <c r="H81" s="1">
        <f t="shared" si="44"/>
        <v>0</v>
      </c>
      <c r="I81" s="43">
        <f t="shared" si="45"/>
        <v>2.5047242526640926E-3</v>
      </c>
      <c r="J81" s="1">
        <f t="shared" si="46"/>
        <v>0</v>
      </c>
      <c r="K81" s="1">
        <f t="shared" si="47"/>
        <v>0</v>
      </c>
      <c r="L81" s="43">
        <f t="shared" si="31"/>
        <v>9.2330007722007702E-3</v>
      </c>
      <c r="M81" s="43">
        <f t="shared" si="32"/>
        <v>4.5010878764478761E-3</v>
      </c>
      <c r="N81" s="43">
        <f t="shared" si="33"/>
        <v>6.1553338481338483E-5</v>
      </c>
      <c r="O81" s="43">
        <f t="shared" si="34"/>
        <v>1.0903898856840032E-2</v>
      </c>
      <c r="P81" s="43">
        <f t="shared" si="35"/>
        <v>5.040811083352259</v>
      </c>
      <c r="Q81" s="43">
        <v>70.36</v>
      </c>
      <c r="R81" s="43">
        <f t="shared" si="36"/>
        <v>1.985774063138769</v>
      </c>
      <c r="S81" s="43">
        <f t="shared" si="37"/>
        <v>242.36627027027026</v>
      </c>
      <c r="T81" s="43">
        <f t="shared" si="38"/>
        <v>484.73254054054053</v>
      </c>
      <c r="U81" s="43">
        <f t="shared" si="39"/>
        <v>1.2240720720720719E-3</v>
      </c>
      <c r="V81" s="43">
        <f t="shared" si="40"/>
        <v>7.6941673101673093E-5</v>
      </c>
      <c r="W81" s="43">
        <f t="shared" si="41"/>
        <v>8.7433719433719422E-4</v>
      </c>
      <c r="X81" s="43">
        <f t="shared" si="42"/>
        <v>8.7433719433719422E-13</v>
      </c>
      <c r="Y81" s="205">
        <f t="shared" si="43"/>
        <v>513.80947585313049</v>
      </c>
    </row>
    <row r="82" spans="1:27">
      <c r="A82" s="45" t="s">
        <v>767</v>
      </c>
      <c r="D82">
        <v>1438</v>
      </c>
      <c r="E82">
        <v>1.2</v>
      </c>
      <c r="H82" s="1">
        <f t="shared" si="44"/>
        <v>0</v>
      </c>
      <c r="I82" s="43">
        <f t="shared" si="45"/>
        <v>9.3310711796138987E-4</v>
      </c>
      <c r="J82" s="1">
        <f t="shared" si="46"/>
        <v>0</v>
      </c>
      <c r="K82" s="1">
        <f t="shared" si="47"/>
        <v>0</v>
      </c>
      <c r="L82" s="43">
        <f t="shared" si="31"/>
        <v>3.4396515830115823E-3</v>
      </c>
      <c r="M82" s="43">
        <f t="shared" si="32"/>
        <v>1.6768301467181463E-3</v>
      </c>
      <c r="N82" s="43">
        <f t="shared" si="33"/>
        <v>2.2931010553410553E-5</v>
      </c>
      <c r="O82" s="43">
        <f t="shared" si="34"/>
        <v>1.0903898856840032E-2</v>
      </c>
      <c r="P82" s="43">
        <f t="shared" si="35"/>
        <v>1.8778980149897793</v>
      </c>
      <c r="Q82" s="43">
        <v>71.36</v>
      </c>
      <c r="R82" s="43">
        <f t="shared" si="36"/>
        <v>0.73977800590506482</v>
      </c>
      <c r="S82" s="43">
        <f t="shared" si="37"/>
        <v>90.290854054054051</v>
      </c>
      <c r="T82" s="43">
        <f t="shared" si="38"/>
        <v>180.5817081081081</v>
      </c>
      <c r="U82" s="43">
        <f t="shared" si="39"/>
        <v>4.5601441441441433E-4</v>
      </c>
      <c r="V82" s="43">
        <f t="shared" si="40"/>
        <v>2.8663763191763191E-5</v>
      </c>
      <c r="W82" s="43">
        <f t="shared" si="41"/>
        <v>3.257245817245817E-4</v>
      </c>
      <c r="X82" s="43">
        <f t="shared" si="42"/>
        <v>3.2572458172458167E-13</v>
      </c>
      <c r="Y82" s="205">
        <f t="shared" si="43"/>
        <v>193.2214282669089</v>
      </c>
    </row>
    <row r="83" spans="1:27">
      <c r="A83" s="45" t="s">
        <v>768</v>
      </c>
      <c r="D83">
        <v>1596</v>
      </c>
      <c r="E83">
        <v>1.2</v>
      </c>
      <c r="H83" s="1">
        <f t="shared" si="44"/>
        <v>0</v>
      </c>
      <c r="I83" s="43">
        <f t="shared" si="45"/>
        <v>1.0356321003243242E-3</v>
      </c>
      <c r="J83" s="1">
        <f t="shared" si="46"/>
        <v>0</v>
      </c>
      <c r="K83" s="1">
        <f t="shared" si="47"/>
        <v>0</v>
      </c>
      <c r="L83" s="43">
        <f t="shared" si="31"/>
        <v>3.8175827027027019E-3</v>
      </c>
      <c r="M83" s="43">
        <f t="shared" si="32"/>
        <v>1.8610715675675673E-3</v>
      </c>
      <c r="N83" s="43">
        <f t="shared" si="33"/>
        <v>2.5450551351351349E-5</v>
      </c>
      <c r="O83" s="43">
        <f t="shared" si="34"/>
        <v>1.0903898856840032E-2</v>
      </c>
      <c r="P83" s="43">
        <f t="shared" si="35"/>
        <v>2.0842317329093798</v>
      </c>
      <c r="Q83" s="43">
        <v>72.36</v>
      </c>
      <c r="R83" s="43">
        <f t="shared" si="36"/>
        <v>0.82106098569157393</v>
      </c>
      <c r="S83" s="43">
        <f t="shared" si="37"/>
        <v>100.21154594594594</v>
      </c>
      <c r="T83" s="43">
        <f t="shared" si="38"/>
        <v>200.42309189189189</v>
      </c>
      <c r="U83" s="43">
        <f t="shared" si="39"/>
        <v>5.0611891891891888E-4</v>
      </c>
      <c r="V83" s="43">
        <f t="shared" si="40"/>
        <v>3.1813189189189185E-5</v>
      </c>
      <c r="W83" s="43">
        <f t="shared" si="41"/>
        <v>3.6151351351351344E-4</v>
      </c>
      <c r="X83" s="43">
        <f t="shared" si="42"/>
        <v>3.615135135135135E-13</v>
      </c>
      <c r="Y83" s="205">
        <f t="shared" si="43"/>
        <v>214.17770882785979</v>
      </c>
    </row>
    <row r="84" spans="1:27">
      <c r="A84" s="45" t="s">
        <v>286</v>
      </c>
      <c r="D84">
        <v>8998</v>
      </c>
      <c r="E84">
        <v>1.2</v>
      </c>
      <c r="H84" s="1">
        <f t="shared" si="44"/>
        <v>0</v>
      </c>
      <c r="I84" s="43">
        <f t="shared" si="45"/>
        <v>5.8387328563397674E-3</v>
      </c>
      <c r="J84" s="1">
        <f t="shared" si="46"/>
        <v>0</v>
      </c>
      <c r="K84" s="1">
        <f t="shared" si="47"/>
        <v>0</v>
      </c>
      <c r="L84" s="43">
        <f t="shared" ref="L84:L109" si="48">CO2_malnutrition_charfact*D84</f>
        <v>2.1522938069498065E-2</v>
      </c>
      <c r="M84" s="43">
        <f t="shared" ref="M84:M109" si="49">CO2_workingcapacity_charfact*D84</f>
        <v>1.0492432308880308E-2</v>
      </c>
      <c r="N84" s="43">
        <f t="shared" ref="N84:N109" si="50">CO2_diarrhea_charfact*D84</f>
        <v>1.4348625379665379E-4</v>
      </c>
      <c r="O84" s="43">
        <f t="shared" ref="O84:O109" si="51">CO2_crop_charfact</f>
        <v>1.0903898856840032E-2</v>
      </c>
      <c r="P84" s="43">
        <f t="shared" ref="P84:P109" si="52">CO2_fruitandveg_charfact*D84</f>
        <v>11.750574644560524</v>
      </c>
      <c r="Q84" s="43">
        <v>73.36</v>
      </c>
      <c r="R84" s="43">
        <f t="shared" ref="R84:R109" si="53">CO2_meatandfish_charfact*D84</f>
        <v>4.6290142539177834</v>
      </c>
      <c r="S84" s="43">
        <f t="shared" ref="S84:S109" si="54">CO2_drinkingwater_charfact*D84</f>
        <v>564.97712432432434</v>
      </c>
      <c r="T84" s="43">
        <f t="shared" ref="T84:T109" si="55">CO2_irrigationwater_charfact*D84</f>
        <v>1129.9542486486487</v>
      </c>
      <c r="U84" s="43">
        <f t="shared" ref="U84:U109" si="56">CO2_energyaccess_charfact*D84</f>
        <v>2.8534198198198195E-3</v>
      </c>
      <c r="V84" s="43">
        <f t="shared" ref="V84:V109" si="57">CO2_housing_charfact*D84</f>
        <v>1.7935781724581724E-4</v>
      </c>
      <c r="W84" s="43">
        <f t="shared" ref="W84:W109" si="58">CO2_separations_charfact*D84</f>
        <v>2.0381570141570137E-3</v>
      </c>
      <c r="X84" s="43">
        <f t="shared" ref="X84:X109" si="59">CO2_NEX_charfact*D84</f>
        <v>2.0381570141570138E-12</v>
      </c>
      <c r="Y84" s="205">
        <f t="shared" ref="Y84:Y109" si="60">(H84+I84)*YOLLvalue+J84*skincancervalue+K84*Lowvisionvalue+L84*malnutrition+M84*working_capacity+N84*diarrhea+O84*cropvalue+P84*Fruitandveg_value+Q84*woodvalue+R84*fishandmeatvalue+S84*drinkingwatervalue+T84*irrigationwatervalue+U84*energy_access+V84*housingvalue+W84*migrationvalue+X84*speciesvalue</f>
        <v>1194.1057386516461</v>
      </c>
    </row>
    <row r="85" spans="1:27">
      <c r="A85" s="45" t="s">
        <v>287</v>
      </c>
      <c r="D85">
        <v>863</v>
      </c>
      <c r="E85">
        <v>1.2</v>
      </c>
      <c r="H85" s="1">
        <f t="shared" si="44"/>
        <v>0</v>
      </c>
      <c r="I85" s="43">
        <f t="shared" si="45"/>
        <v>5.5999404923552122E-4</v>
      </c>
      <c r="J85" s="1">
        <f t="shared" si="46"/>
        <v>0</v>
      </c>
      <c r="K85" s="1">
        <f t="shared" si="47"/>
        <v>0</v>
      </c>
      <c r="L85" s="43">
        <f t="shared" si="48"/>
        <v>2.0642693436293434E-3</v>
      </c>
      <c r="M85" s="43">
        <f t="shared" si="49"/>
        <v>1.0063313050193048E-3</v>
      </c>
      <c r="N85" s="43">
        <f t="shared" si="50"/>
        <v>1.3761795624195623E-5</v>
      </c>
      <c r="O85" s="43">
        <f t="shared" si="51"/>
        <v>1.0903898856840032E-2</v>
      </c>
      <c r="P85" s="43">
        <f t="shared" si="52"/>
        <v>1.1269999909152848</v>
      </c>
      <c r="Q85" s="43">
        <v>74.36</v>
      </c>
      <c r="R85" s="43">
        <f t="shared" si="53"/>
        <v>0.44396969339086989</v>
      </c>
      <c r="S85" s="43">
        <f t="shared" si="54"/>
        <v>54.187070270270269</v>
      </c>
      <c r="T85" s="43">
        <f t="shared" si="55"/>
        <v>108.37414054054054</v>
      </c>
      <c r="U85" s="43">
        <f t="shared" si="56"/>
        <v>2.7367207207207203E-4</v>
      </c>
      <c r="V85" s="43">
        <f t="shared" si="57"/>
        <v>1.7202244530244529E-5</v>
      </c>
      <c r="W85" s="43">
        <f t="shared" si="58"/>
        <v>1.9548005148005144E-4</v>
      </c>
      <c r="X85" s="43">
        <f t="shared" si="59"/>
        <v>1.9548005148005146E-13</v>
      </c>
      <c r="Y85" s="205">
        <f t="shared" si="60"/>
        <v>117.22205280775228</v>
      </c>
    </row>
    <row r="86" spans="1:27">
      <c r="A86" t="s">
        <v>769</v>
      </c>
      <c r="D86">
        <v>5298</v>
      </c>
      <c r="E86">
        <v>1.2</v>
      </c>
      <c r="H86" s="1">
        <f t="shared" si="44"/>
        <v>0</v>
      </c>
      <c r="I86" s="43">
        <f t="shared" si="45"/>
        <v>3.4378313706254823E-3</v>
      </c>
      <c r="J86" s="1">
        <f t="shared" si="46"/>
        <v>0</v>
      </c>
      <c r="K86" s="1">
        <f t="shared" si="47"/>
        <v>0</v>
      </c>
      <c r="L86" s="43">
        <f t="shared" si="48"/>
        <v>1.2672652355212354E-2</v>
      </c>
      <c r="M86" s="43">
        <f t="shared" si="49"/>
        <v>6.1779180231660222E-3</v>
      </c>
      <c r="N86" s="43">
        <f t="shared" si="50"/>
        <v>8.4484349034749033E-5</v>
      </c>
      <c r="O86" s="43">
        <f t="shared" si="51"/>
        <v>1.0903898856840032E-2</v>
      </c>
      <c r="P86" s="43">
        <f t="shared" si="52"/>
        <v>6.9187090983420383</v>
      </c>
      <c r="Q86" s="43">
        <v>75.36</v>
      </c>
      <c r="R86" s="43">
        <f t="shared" si="53"/>
        <v>2.7255520690438337</v>
      </c>
      <c r="S86" s="43">
        <f t="shared" si="54"/>
        <v>332.65712432432429</v>
      </c>
      <c r="T86" s="43">
        <f t="shared" si="55"/>
        <v>665.31424864864857</v>
      </c>
      <c r="U86" s="43">
        <f t="shared" si="56"/>
        <v>1.6800864864864862E-3</v>
      </c>
      <c r="V86" s="43">
        <f t="shared" si="57"/>
        <v>1.0560543629343629E-4</v>
      </c>
      <c r="W86" s="43">
        <f t="shared" si="58"/>
        <v>1.2000617760617759E-3</v>
      </c>
      <c r="X86" s="43">
        <f t="shared" si="59"/>
        <v>1.2000617760617758E-12</v>
      </c>
      <c r="Y86" s="205">
        <f t="shared" si="60"/>
        <v>704.37410526229075</v>
      </c>
    </row>
    <row r="87" spans="1:27">
      <c r="A87" t="s">
        <v>770</v>
      </c>
      <c r="D87">
        <v>285</v>
      </c>
      <c r="E87">
        <v>1.2</v>
      </c>
      <c r="H87" s="1">
        <f t="shared" si="44"/>
        <v>0</v>
      </c>
      <c r="I87" s="43">
        <f t="shared" si="45"/>
        <v>1.8493430362934361E-4</v>
      </c>
      <c r="J87" s="1">
        <f t="shared" si="46"/>
        <v>0</v>
      </c>
      <c r="K87" s="1">
        <f t="shared" si="47"/>
        <v>0</v>
      </c>
      <c r="L87" s="43">
        <f t="shared" si="48"/>
        <v>6.8171119691119676E-4</v>
      </c>
      <c r="M87" s="43">
        <f t="shared" si="49"/>
        <v>3.3233420849420844E-4</v>
      </c>
      <c r="N87" s="43">
        <f t="shared" si="50"/>
        <v>4.544741312741312E-6</v>
      </c>
      <c r="O87" s="43">
        <f t="shared" si="51"/>
        <v>1.0903898856840032E-2</v>
      </c>
      <c r="P87" s="43">
        <f t="shared" si="52"/>
        <v>0.37218423801953204</v>
      </c>
      <c r="Q87" s="43">
        <v>76.36</v>
      </c>
      <c r="R87" s="43">
        <f t="shared" si="53"/>
        <v>0.14661803315920963</v>
      </c>
      <c r="S87" s="43">
        <f t="shared" si="54"/>
        <v>17.894918918918918</v>
      </c>
      <c r="T87" s="43">
        <f t="shared" si="55"/>
        <v>35.789837837837837</v>
      </c>
      <c r="U87" s="43">
        <f t="shared" si="56"/>
        <v>9.0378378378378361E-5</v>
      </c>
      <c r="V87" s="43">
        <f t="shared" si="57"/>
        <v>5.6809266409266407E-6</v>
      </c>
      <c r="W87" s="43">
        <f t="shared" si="58"/>
        <v>6.4555984555984545E-5</v>
      </c>
      <c r="X87" s="43">
        <f t="shared" si="59"/>
        <v>6.4555984555984555E-14</v>
      </c>
      <c r="Y87" s="205">
        <f t="shared" si="60"/>
        <v>40.785532780982656</v>
      </c>
    </row>
    <row r="88" spans="1:27">
      <c r="A88" t="s">
        <v>771</v>
      </c>
      <c r="D88">
        <v>352</v>
      </c>
      <c r="E88">
        <v>1.2</v>
      </c>
      <c r="H88" s="1">
        <f t="shared" si="44"/>
        <v>0</v>
      </c>
      <c r="I88" s="43">
        <f t="shared" si="45"/>
        <v>2.2841008728957527E-4</v>
      </c>
      <c r="J88" s="1">
        <f t="shared" si="46"/>
        <v>0</v>
      </c>
      <c r="K88" s="1">
        <f t="shared" si="47"/>
        <v>0</v>
      </c>
      <c r="L88" s="43">
        <f t="shared" si="48"/>
        <v>8.4197312741312723E-4</v>
      </c>
      <c r="M88" s="43">
        <f t="shared" si="49"/>
        <v>4.1046189961389953E-4</v>
      </c>
      <c r="N88" s="43">
        <f t="shared" si="50"/>
        <v>5.613154182754182E-6</v>
      </c>
      <c r="O88" s="43">
        <f t="shared" si="51"/>
        <v>1.0903898856840032E-2</v>
      </c>
      <c r="P88" s="43">
        <f t="shared" si="52"/>
        <v>0.45968018169429925</v>
      </c>
      <c r="Q88" s="43">
        <v>77.36</v>
      </c>
      <c r="R88" s="43">
        <f t="shared" si="53"/>
        <v>0.18108613218260278</v>
      </c>
      <c r="S88" s="43">
        <f t="shared" si="54"/>
        <v>22.101794594594594</v>
      </c>
      <c r="T88" s="43">
        <f t="shared" si="55"/>
        <v>44.203589189189188</v>
      </c>
      <c r="U88" s="43">
        <f t="shared" si="56"/>
        <v>1.1162522522522521E-4</v>
      </c>
      <c r="V88" s="43">
        <f t="shared" si="57"/>
        <v>7.0164427284427283E-6</v>
      </c>
      <c r="W88" s="43">
        <f t="shared" si="58"/>
        <v>7.9732303732303728E-5</v>
      </c>
      <c r="X88" s="43">
        <f t="shared" si="59"/>
        <v>7.9732303732303718E-14</v>
      </c>
      <c r="Y88" s="205">
        <f t="shared" si="60"/>
        <v>49.69509479100612</v>
      </c>
    </row>
    <row r="89" spans="1:27">
      <c r="A89" s="45" t="s">
        <v>772</v>
      </c>
      <c r="D89">
        <v>1032</v>
      </c>
      <c r="E89">
        <v>1.2</v>
      </c>
      <c r="H89" s="1">
        <f t="shared" si="44"/>
        <v>0</v>
      </c>
      <c r="I89" s="43">
        <f t="shared" si="45"/>
        <v>6.6965684682625476E-4</v>
      </c>
      <c r="J89" s="1">
        <f t="shared" si="46"/>
        <v>0</v>
      </c>
      <c r="K89" s="1">
        <f t="shared" si="47"/>
        <v>0</v>
      </c>
      <c r="L89" s="43">
        <f t="shared" si="48"/>
        <v>2.4685121235521234E-3</v>
      </c>
      <c r="M89" s="43">
        <f t="shared" si="49"/>
        <v>1.2033996602316601E-3</v>
      </c>
      <c r="N89" s="43">
        <f t="shared" si="50"/>
        <v>1.6456747490347488E-5</v>
      </c>
      <c r="O89" s="43">
        <f t="shared" si="51"/>
        <v>1.0903898856840032E-2</v>
      </c>
      <c r="P89" s="43">
        <f t="shared" si="52"/>
        <v>1.3476987145128319</v>
      </c>
      <c r="Q89" s="43">
        <v>78.36</v>
      </c>
      <c r="R89" s="43">
        <f t="shared" si="53"/>
        <v>0.53091161480808546</v>
      </c>
      <c r="S89" s="43">
        <f t="shared" si="54"/>
        <v>64.798443243243241</v>
      </c>
      <c r="T89" s="43">
        <f t="shared" si="55"/>
        <v>129.59688648648648</v>
      </c>
      <c r="U89" s="43">
        <f t="shared" si="56"/>
        <v>3.272648648648648E-4</v>
      </c>
      <c r="V89" s="43">
        <f t="shared" si="57"/>
        <v>2.0570934362934363E-5</v>
      </c>
      <c r="W89" s="43">
        <f t="shared" si="58"/>
        <v>2.3376061776061774E-4</v>
      </c>
      <c r="X89" s="43">
        <f t="shared" si="59"/>
        <v>2.3376061776061773E-13</v>
      </c>
      <c r="Y89" s="205">
        <f t="shared" si="60"/>
        <v>139.75453011661747</v>
      </c>
    </row>
    <row r="90" spans="1:27">
      <c r="A90" t="s">
        <v>773</v>
      </c>
      <c r="D90">
        <v>92</v>
      </c>
      <c r="E90">
        <v>1.2</v>
      </c>
      <c r="H90" s="1">
        <f t="shared" si="44"/>
        <v>0</v>
      </c>
      <c r="I90" s="43">
        <f t="shared" si="45"/>
        <v>5.9698090996138992E-5</v>
      </c>
      <c r="J90" s="1">
        <f t="shared" si="46"/>
        <v>0</v>
      </c>
      <c r="K90" s="1">
        <f t="shared" si="47"/>
        <v>0</v>
      </c>
      <c r="L90" s="43">
        <f t="shared" si="48"/>
        <v>2.2006115830115825E-4</v>
      </c>
      <c r="M90" s="43">
        <f t="shared" si="49"/>
        <v>1.0727981467181466E-4</v>
      </c>
      <c r="N90" s="43">
        <f t="shared" si="50"/>
        <v>1.4670743886743885E-6</v>
      </c>
      <c r="O90" s="43">
        <f t="shared" si="51"/>
        <v>1.0903898856840032E-2</v>
      </c>
      <c r="P90" s="43">
        <f t="shared" si="52"/>
        <v>0.12014368385191912</v>
      </c>
      <c r="Q90" s="43">
        <v>79.36</v>
      </c>
      <c r="R90" s="43">
        <f t="shared" si="53"/>
        <v>4.7329330002271179E-2</v>
      </c>
      <c r="S90" s="43">
        <f t="shared" si="54"/>
        <v>5.7766054054054052</v>
      </c>
      <c r="T90" s="43">
        <f t="shared" si="55"/>
        <v>11.55321081081081</v>
      </c>
      <c r="U90" s="43">
        <f t="shared" si="56"/>
        <v>2.9174774774774772E-5</v>
      </c>
      <c r="V90" s="43">
        <f t="shared" si="57"/>
        <v>1.8338429858429857E-6</v>
      </c>
      <c r="W90" s="43">
        <f t="shared" si="58"/>
        <v>2.0839124839124835E-5</v>
      </c>
      <c r="X90" s="43">
        <f t="shared" si="59"/>
        <v>2.0839124839124837E-14</v>
      </c>
      <c r="Y90" s="205">
        <f t="shared" si="60"/>
        <v>15.355898931213567</v>
      </c>
    </row>
    <row r="91" spans="1:27">
      <c r="A91" t="s">
        <v>774</v>
      </c>
      <c r="D91">
        <v>175</v>
      </c>
      <c r="E91">
        <v>1.2</v>
      </c>
      <c r="H91" s="1">
        <f t="shared" si="44"/>
        <v>0</v>
      </c>
      <c r="I91" s="43">
        <f t="shared" si="45"/>
        <v>1.1355615135135134E-4</v>
      </c>
      <c r="J91" s="1">
        <f t="shared" si="46"/>
        <v>0</v>
      </c>
      <c r="K91" s="1">
        <f t="shared" si="47"/>
        <v>0</v>
      </c>
      <c r="L91" s="43">
        <f t="shared" si="48"/>
        <v>4.1859459459459453E-4</v>
      </c>
      <c r="M91" s="43">
        <f t="shared" si="49"/>
        <v>2.0406486486486484E-4</v>
      </c>
      <c r="N91" s="43">
        <f t="shared" si="50"/>
        <v>2.7906306306306304E-6</v>
      </c>
      <c r="O91" s="43">
        <f t="shared" si="51"/>
        <v>1.0903898856840032E-2</v>
      </c>
      <c r="P91" s="43">
        <f t="shared" si="52"/>
        <v>0.22853418124006356</v>
      </c>
      <c r="Q91" s="43">
        <v>80.36</v>
      </c>
      <c r="R91" s="43">
        <f t="shared" si="53"/>
        <v>9.0028616852146262E-2</v>
      </c>
      <c r="S91" s="43">
        <f t="shared" si="54"/>
        <v>10.988108108108108</v>
      </c>
      <c r="T91" s="43">
        <f t="shared" si="55"/>
        <v>21.976216216216216</v>
      </c>
      <c r="U91" s="43">
        <f t="shared" si="56"/>
        <v>5.5495495495495487E-5</v>
      </c>
      <c r="V91" s="43">
        <f t="shared" si="57"/>
        <v>3.4882882882882881E-6</v>
      </c>
      <c r="W91" s="43">
        <f t="shared" si="58"/>
        <v>3.9639639639639633E-5</v>
      </c>
      <c r="X91" s="43">
        <f t="shared" si="59"/>
        <v>3.9639639639639633E-14</v>
      </c>
      <c r="Y91" s="205">
        <f t="shared" si="60"/>
        <v>26.38356530183966</v>
      </c>
    </row>
    <row r="92" spans="1:27">
      <c r="A92" t="s">
        <v>775</v>
      </c>
      <c r="D92">
        <v>2742</v>
      </c>
      <c r="E92">
        <v>1.2</v>
      </c>
      <c r="H92" s="1">
        <f t="shared" si="44"/>
        <v>0</v>
      </c>
      <c r="I92" s="43">
        <f t="shared" si="45"/>
        <v>1.7792626686023165E-3</v>
      </c>
      <c r="J92" s="1">
        <f t="shared" si="46"/>
        <v>0</v>
      </c>
      <c r="K92" s="1">
        <f t="shared" si="47"/>
        <v>0</v>
      </c>
      <c r="L92" s="43">
        <f t="shared" si="48"/>
        <v>6.5587793050193039E-3</v>
      </c>
      <c r="M92" s="43">
        <f t="shared" si="49"/>
        <v>3.1974049111969105E-3</v>
      </c>
      <c r="N92" s="43">
        <f t="shared" si="50"/>
        <v>4.3725195366795365E-5</v>
      </c>
      <c r="O92" s="43">
        <f t="shared" si="51"/>
        <v>1.0903898856840032E-2</v>
      </c>
      <c r="P92" s="43">
        <f t="shared" si="52"/>
        <v>3.5808041426300243</v>
      </c>
      <c r="Q92" s="43">
        <v>81.36</v>
      </c>
      <c r="R92" s="43">
        <f t="shared" si="53"/>
        <v>1.4106198137633432</v>
      </c>
      <c r="S92" s="43">
        <f t="shared" si="54"/>
        <v>172.16795675675675</v>
      </c>
      <c r="T92" s="43">
        <f t="shared" si="55"/>
        <v>344.3359135135135</v>
      </c>
      <c r="U92" s="43">
        <f t="shared" si="56"/>
        <v>8.6953513513513502E-4</v>
      </c>
      <c r="V92" s="43">
        <f t="shared" si="57"/>
        <v>5.4656494208494203E-5</v>
      </c>
      <c r="W92" s="43">
        <f t="shared" si="58"/>
        <v>6.2109652509652498E-4</v>
      </c>
      <c r="X92" s="43">
        <f t="shared" si="59"/>
        <v>6.2109652509652503E-13</v>
      </c>
      <c r="Y92" s="205">
        <f t="shared" si="60"/>
        <v>366.24693365602241</v>
      </c>
    </row>
    <row r="93" spans="1:27">
      <c r="A93" s="45" t="s">
        <v>776</v>
      </c>
      <c r="D93">
        <v>966</v>
      </c>
      <c r="E93">
        <v>1.2</v>
      </c>
      <c r="H93" s="1">
        <f t="shared" si="44"/>
        <v>0</v>
      </c>
      <c r="I93" s="43">
        <f t="shared" si="45"/>
        <v>6.2682995545945935E-4</v>
      </c>
      <c r="J93" s="1">
        <f t="shared" si="46"/>
        <v>0</v>
      </c>
      <c r="K93" s="1">
        <f t="shared" si="47"/>
        <v>0</v>
      </c>
      <c r="L93" s="43">
        <f t="shared" si="48"/>
        <v>2.3106421621621616E-3</v>
      </c>
      <c r="M93" s="43">
        <f t="shared" si="49"/>
        <v>1.1264380540540538E-3</v>
      </c>
      <c r="N93" s="43">
        <f t="shared" si="50"/>
        <v>1.5404281081081079E-5</v>
      </c>
      <c r="O93" s="43">
        <f t="shared" si="51"/>
        <v>1.0903898856840032E-2</v>
      </c>
      <c r="P93" s="43">
        <f t="shared" si="52"/>
        <v>1.2615086804451507</v>
      </c>
      <c r="Q93" s="43">
        <v>82.36</v>
      </c>
      <c r="R93" s="43">
        <f t="shared" si="53"/>
        <v>0.49695796502384743</v>
      </c>
      <c r="S93" s="43">
        <f t="shared" si="54"/>
        <v>60.654356756756755</v>
      </c>
      <c r="T93" s="43">
        <f t="shared" si="55"/>
        <v>121.30871351351351</v>
      </c>
      <c r="U93" s="43">
        <f t="shared" si="56"/>
        <v>3.063351351351351E-4</v>
      </c>
      <c r="V93" s="43">
        <f t="shared" si="57"/>
        <v>1.9255351351351352E-5</v>
      </c>
      <c r="W93" s="43">
        <f t="shared" si="58"/>
        <v>2.1881081081081077E-4</v>
      </c>
      <c r="X93" s="43">
        <f t="shared" si="59"/>
        <v>2.1881081081081077E-13</v>
      </c>
      <c r="Y93" s="205">
        <f t="shared" si="60"/>
        <v>131.17734962913161</v>
      </c>
    </row>
    <row r="94" spans="1:27">
      <c r="A94" s="8" t="s">
        <v>278</v>
      </c>
      <c r="D94">
        <v>1952</v>
      </c>
      <c r="E94">
        <v>1.2</v>
      </c>
      <c r="H94" s="1">
        <f t="shared" si="44"/>
        <v>0</v>
      </c>
      <c r="I94" s="43">
        <f t="shared" si="45"/>
        <v>1.2666377567876446E-3</v>
      </c>
      <c r="J94" s="1">
        <f t="shared" si="46"/>
        <v>0</v>
      </c>
      <c r="K94" s="1">
        <f t="shared" si="47"/>
        <v>0</v>
      </c>
      <c r="L94" s="43">
        <f t="shared" si="48"/>
        <v>4.6691237065637058E-3</v>
      </c>
      <c r="M94" s="43">
        <f t="shared" si="49"/>
        <v>2.2761978069498067E-3</v>
      </c>
      <c r="N94" s="43">
        <f t="shared" si="50"/>
        <v>3.1127491377091375E-5</v>
      </c>
      <c r="O94" s="43">
        <f t="shared" si="51"/>
        <v>1.0903898856840032E-2</v>
      </c>
      <c r="P94" s="43">
        <f t="shared" si="52"/>
        <v>2.549135553032023</v>
      </c>
      <c r="Q94" s="43">
        <v>83.36</v>
      </c>
      <c r="R94" s="43">
        <f t="shared" si="53"/>
        <v>1.0042049148307972</v>
      </c>
      <c r="S94" s="43">
        <f t="shared" si="54"/>
        <v>122.56449729729729</v>
      </c>
      <c r="T94" s="43">
        <f t="shared" si="55"/>
        <v>245.12899459459459</v>
      </c>
      <c r="U94" s="43">
        <f t="shared" si="56"/>
        <v>6.190126126126125E-4</v>
      </c>
      <c r="V94" s="43">
        <f t="shared" si="57"/>
        <v>3.8909364221364219E-5</v>
      </c>
      <c r="W94" s="43">
        <f t="shared" si="58"/>
        <v>4.4215186615186611E-4</v>
      </c>
      <c r="X94" s="43">
        <f t="shared" si="59"/>
        <v>4.4215186615186609E-13</v>
      </c>
      <c r="Y94" s="205">
        <f t="shared" si="60"/>
        <v>261.74553085126809</v>
      </c>
      <c r="AA94" s="88" t="s">
        <v>1047</v>
      </c>
    </row>
    <row r="95" spans="1:27">
      <c r="A95" t="s">
        <v>777</v>
      </c>
      <c r="D95">
        <v>1</v>
      </c>
      <c r="E95">
        <v>1.2</v>
      </c>
      <c r="H95" s="1">
        <f t="shared" si="44"/>
        <v>0</v>
      </c>
      <c r="I95" s="43">
        <f t="shared" si="45"/>
        <v>6.4889229343629337E-7</v>
      </c>
      <c r="J95" s="1">
        <f t="shared" si="46"/>
        <v>0</v>
      </c>
      <c r="K95" s="1">
        <f t="shared" si="47"/>
        <v>0</v>
      </c>
      <c r="L95" s="43">
        <f t="shared" si="48"/>
        <v>2.3919691119691116E-6</v>
      </c>
      <c r="M95" s="43">
        <f t="shared" si="49"/>
        <v>1.1660849420849419E-6</v>
      </c>
      <c r="N95" s="43">
        <f t="shared" si="50"/>
        <v>1.5946460746460745E-8</v>
      </c>
      <c r="O95" s="43">
        <f t="shared" si="51"/>
        <v>1.0903898856840032E-2</v>
      </c>
      <c r="P95" s="43">
        <f t="shared" si="52"/>
        <v>1.3059096070860774E-3</v>
      </c>
      <c r="Q95" s="43">
        <v>84.36</v>
      </c>
      <c r="R95" s="43">
        <f t="shared" si="53"/>
        <v>5.1444923915512154E-4</v>
      </c>
      <c r="S95" s="43">
        <f t="shared" si="54"/>
        <v>6.2789189189189187E-2</v>
      </c>
      <c r="T95" s="43">
        <f t="shared" si="55"/>
        <v>0.12557837837837837</v>
      </c>
      <c r="U95" s="43">
        <f t="shared" si="56"/>
        <v>3.1711711711711707E-7</v>
      </c>
      <c r="V95" s="43">
        <f t="shared" si="57"/>
        <v>1.9933075933075932E-8</v>
      </c>
      <c r="W95" s="43">
        <f t="shared" si="58"/>
        <v>2.2651222651222648E-7</v>
      </c>
      <c r="X95" s="43">
        <f t="shared" si="59"/>
        <v>2.2651222651222649E-16</v>
      </c>
      <c r="Y95" s="205">
        <f t="shared" si="60"/>
        <v>3.509180380286169</v>
      </c>
    </row>
    <row r="96" spans="1:27">
      <c r="A96" t="s">
        <v>778</v>
      </c>
      <c r="D96">
        <v>1</v>
      </c>
      <c r="E96">
        <v>1.2</v>
      </c>
      <c r="H96" s="1">
        <f t="shared" si="44"/>
        <v>0</v>
      </c>
      <c r="I96" s="43">
        <f t="shared" si="45"/>
        <v>6.4889229343629337E-7</v>
      </c>
      <c r="J96" s="1">
        <f t="shared" si="46"/>
        <v>0</v>
      </c>
      <c r="K96" s="1">
        <f t="shared" si="47"/>
        <v>0</v>
      </c>
      <c r="L96" s="43">
        <f t="shared" si="48"/>
        <v>2.3919691119691116E-6</v>
      </c>
      <c r="M96" s="43">
        <f t="shared" si="49"/>
        <v>1.1660849420849419E-6</v>
      </c>
      <c r="N96" s="43">
        <f t="shared" si="50"/>
        <v>1.5946460746460745E-8</v>
      </c>
      <c r="O96" s="43">
        <f t="shared" si="51"/>
        <v>1.0903898856840032E-2</v>
      </c>
      <c r="P96" s="43">
        <f t="shared" si="52"/>
        <v>1.3059096070860774E-3</v>
      </c>
      <c r="Q96" s="43">
        <v>85.36</v>
      </c>
      <c r="R96" s="43">
        <f t="shared" si="53"/>
        <v>5.1444923915512154E-4</v>
      </c>
      <c r="S96" s="43">
        <f t="shared" si="54"/>
        <v>6.2789189189189187E-2</v>
      </c>
      <c r="T96" s="43">
        <f t="shared" si="55"/>
        <v>0.12557837837837837</v>
      </c>
      <c r="U96" s="43">
        <f t="shared" si="56"/>
        <v>3.1711711711711707E-7</v>
      </c>
      <c r="V96" s="43">
        <f t="shared" si="57"/>
        <v>1.9933075933075932E-8</v>
      </c>
      <c r="W96" s="43">
        <f t="shared" si="58"/>
        <v>2.2651222651222648E-7</v>
      </c>
      <c r="X96" s="43">
        <f t="shared" si="59"/>
        <v>2.2651222651222649E-16</v>
      </c>
      <c r="Y96" s="205">
        <f t="shared" si="60"/>
        <v>3.549180380286169</v>
      </c>
    </row>
    <row r="97" spans="1:27">
      <c r="A97" t="s">
        <v>779</v>
      </c>
      <c r="D97">
        <v>1</v>
      </c>
      <c r="E97">
        <v>1.2</v>
      </c>
      <c r="H97" s="1">
        <f t="shared" si="44"/>
        <v>0</v>
      </c>
      <c r="I97" s="43">
        <f t="shared" si="45"/>
        <v>6.4889229343629337E-7</v>
      </c>
      <c r="J97" s="1">
        <f t="shared" si="46"/>
        <v>0</v>
      </c>
      <c r="K97" s="1">
        <f t="shared" si="47"/>
        <v>0</v>
      </c>
      <c r="L97" s="43">
        <f t="shared" si="48"/>
        <v>2.3919691119691116E-6</v>
      </c>
      <c r="M97" s="43">
        <f t="shared" si="49"/>
        <v>1.1660849420849419E-6</v>
      </c>
      <c r="N97" s="43">
        <f t="shared" si="50"/>
        <v>1.5946460746460745E-8</v>
      </c>
      <c r="O97" s="43">
        <f t="shared" si="51"/>
        <v>1.0903898856840032E-2</v>
      </c>
      <c r="P97" s="43">
        <f t="shared" si="52"/>
        <v>1.3059096070860774E-3</v>
      </c>
      <c r="Q97" s="43">
        <v>86.36</v>
      </c>
      <c r="R97" s="43">
        <f t="shared" si="53"/>
        <v>5.1444923915512154E-4</v>
      </c>
      <c r="S97" s="43">
        <f t="shared" si="54"/>
        <v>6.2789189189189187E-2</v>
      </c>
      <c r="T97" s="43">
        <f t="shared" si="55"/>
        <v>0.12557837837837837</v>
      </c>
      <c r="U97" s="43">
        <f t="shared" si="56"/>
        <v>3.1711711711711707E-7</v>
      </c>
      <c r="V97" s="43">
        <f t="shared" si="57"/>
        <v>1.9933075933075932E-8</v>
      </c>
      <c r="W97" s="43">
        <f t="shared" si="58"/>
        <v>2.2651222651222648E-7</v>
      </c>
      <c r="X97" s="43">
        <f t="shared" si="59"/>
        <v>2.2651222651222649E-16</v>
      </c>
      <c r="Y97" s="205">
        <f t="shared" si="60"/>
        <v>3.589180380286169</v>
      </c>
    </row>
    <row r="98" spans="1:27">
      <c r="A98" t="s">
        <v>780</v>
      </c>
      <c r="D98">
        <v>1</v>
      </c>
      <c r="E98">
        <v>1.2</v>
      </c>
      <c r="H98" s="1">
        <f t="shared" si="44"/>
        <v>0</v>
      </c>
      <c r="I98" s="43">
        <f t="shared" si="45"/>
        <v>6.4889229343629337E-7</v>
      </c>
      <c r="J98" s="1">
        <f t="shared" si="46"/>
        <v>0</v>
      </c>
      <c r="K98" s="1">
        <f t="shared" si="47"/>
        <v>0</v>
      </c>
      <c r="L98" s="43">
        <f t="shared" si="48"/>
        <v>2.3919691119691116E-6</v>
      </c>
      <c r="M98" s="43">
        <f t="shared" si="49"/>
        <v>1.1660849420849419E-6</v>
      </c>
      <c r="N98" s="43">
        <f t="shared" si="50"/>
        <v>1.5946460746460745E-8</v>
      </c>
      <c r="O98" s="43">
        <f t="shared" si="51"/>
        <v>1.0903898856840032E-2</v>
      </c>
      <c r="P98" s="43">
        <f t="shared" si="52"/>
        <v>1.3059096070860774E-3</v>
      </c>
      <c r="Q98" s="43">
        <v>87.36</v>
      </c>
      <c r="R98" s="43">
        <f t="shared" si="53"/>
        <v>5.1444923915512154E-4</v>
      </c>
      <c r="S98" s="43">
        <f t="shared" si="54"/>
        <v>6.2789189189189187E-2</v>
      </c>
      <c r="T98" s="43">
        <f t="shared" si="55"/>
        <v>0.12557837837837837</v>
      </c>
      <c r="U98" s="43">
        <f t="shared" si="56"/>
        <v>3.1711711711711707E-7</v>
      </c>
      <c r="V98" s="43">
        <f t="shared" si="57"/>
        <v>1.9933075933075932E-8</v>
      </c>
      <c r="W98" s="43">
        <f t="shared" si="58"/>
        <v>2.2651222651222648E-7</v>
      </c>
      <c r="X98" s="43">
        <f t="shared" si="59"/>
        <v>2.2651222651222649E-16</v>
      </c>
      <c r="Y98" s="205">
        <f t="shared" si="60"/>
        <v>3.6291803802861691</v>
      </c>
    </row>
    <row r="99" spans="1:27">
      <c r="A99" t="s">
        <v>781</v>
      </c>
      <c r="D99">
        <v>1</v>
      </c>
      <c r="E99">
        <v>1.2</v>
      </c>
      <c r="H99" s="1">
        <f t="shared" si="44"/>
        <v>0</v>
      </c>
      <c r="I99" s="43">
        <f t="shared" si="45"/>
        <v>6.4889229343629337E-7</v>
      </c>
      <c r="J99" s="1">
        <f t="shared" si="46"/>
        <v>0</v>
      </c>
      <c r="K99" s="1">
        <f t="shared" si="47"/>
        <v>0</v>
      </c>
      <c r="L99" s="43">
        <f t="shared" si="48"/>
        <v>2.3919691119691116E-6</v>
      </c>
      <c r="M99" s="43">
        <f t="shared" si="49"/>
        <v>1.1660849420849419E-6</v>
      </c>
      <c r="N99" s="43">
        <f t="shared" si="50"/>
        <v>1.5946460746460745E-8</v>
      </c>
      <c r="O99" s="43">
        <f t="shared" si="51"/>
        <v>1.0903898856840032E-2</v>
      </c>
      <c r="P99" s="43">
        <f t="shared" si="52"/>
        <v>1.3059096070860774E-3</v>
      </c>
      <c r="Q99" s="43">
        <v>88.36</v>
      </c>
      <c r="R99" s="43">
        <f t="shared" si="53"/>
        <v>5.1444923915512154E-4</v>
      </c>
      <c r="S99" s="43">
        <f t="shared" si="54"/>
        <v>6.2789189189189187E-2</v>
      </c>
      <c r="T99" s="43">
        <f t="shared" si="55"/>
        <v>0.12557837837837837</v>
      </c>
      <c r="U99" s="43">
        <f t="shared" si="56"/>
        <v>3.1711711711711707E-7</v>
      </c>
      <c r="V99" s="43">
        <f t="shared" si="57"/>
        <v>1.9933075933075932E-8</v>
      </c>
      <c r="W99" s="43">
        <f t="shared" si="58"/>
        <v>2.2651222651222648E-7</v>
      </c>
      <c r="X99" s="43">
        <f t="shared" si="59"/>
        <v>2.2651222651222649E-16</v>
      </c>
      <c r="Y99" s="205">
        <f t="shared" si="60"/>
        <v>3.6691803802861691</v>
      </c>
    </row>
    <row r="100" spans="1:27">
      <c r="A100" t="s">
        <v>782</v>
      </c>
      <c r="D100">
        <v>1</v>
      </c>
      <c r="E100">
        <v>1.2</v>
      </c>
      <c r="H100" s="1">
        <f t="shared" si="44"/>
        <v>0</v>
      </c>
      <c r="I100" s="43">
        <f t="shared" si="45"/>
        <v>6.4889229343629337E-7</v>
      </c>
      <c r="J100" s="1">
        <f t="shared" si="46"/>
        <v>0</v>
      </c>
      <c r="K100" s="1">
        <f t="shared" si="47"/>
        <v>0</v>
      </c>
      <c r="L100" s="43">
        <f t="shared" si="48"/>
        <v>2.3919691119691116E-6</v>
      </c>
      <c r="M100" s="43">
        <f t="shared" si="49"/>
        <v>1.1660849420849419E-6</v>
      </c>
      <c r="N100" s="43">
        <f t="shared" si="50"/>
        <v>1.5946460746460745E-8</v>
      </c>
      <c r="O100" s="43">
        <f t="shared" si="51"/>
        <v>1.0903898856840032E-2</v>
      </c>
      <c r="P100" s="43">
        <f t="shared" si="52"/>
        <v>1.3059096070860774E-3</v>
      </c>
      <c r="Q100" s="43">
        <v>89.36</v>
      </c>
      <c r="R100" s="43">
        <f t="shared" si="53"/>
        <v>5.1444923915512154E-4</v>
      </c>
      <c r="S100" s="43">
        <f t="shared" si="54"/>
        <v>6.2789189189189187E-2</v>
      </c>
      <c r="T100" s="43">
        <f t="shared" si="55"/>
        <v>0.12557837837837837</v>
      </c>
      <c r="U100" s="43">
        <f t="shared" si="56"/>
        <v>3.1711711711711707E-7</v>
      </c>
      <c r="V100" s="43">
        <f t="shared" si="57"/>
        <v>1.9933075933075932E-8</v>
      </c>
      <c r="W100" s="43">
        <f t="shared" si="58"/>
        <v>2.2651222651222648E-7</v>
      </c>
      <c r="X100" s="43">
        <f t="shared" si="59"/>
        <v>2.2651222651222649E-16</v>
      </c>
      <c r="Y100" s="205">
        <f t="shared" si="60"/>
        <v>3.7091803802861691</v>
      </c>
    </row>
    <row r="101" spans="1:27">
      <c r="A101" t="s">
        <v>783</v>
      </c>
      <c r="D101">
        <v>1</v>
      </c>
      <c r="E101">
        <v>1.2</v>
      </c>
      <c r="H101" s="1">
        <f t="shared" si="44"/>
        <v>0</v>
      </c>
      <c r="I101" s="43">
        <f t="shared" si="45"/>
        <v>6.4889229343629337E-7</v>
      </c>
      <c r="J101" s="1">
        <f t="shared" si="46"/>
        <v>0</v>
      </c>
      <c r="K101" s="1">
        <f t="shared" si="47"/>
        <v>0</v>
      </c>
      <c r="L101" s="43">
        <f t="shared" si="48"/>
        <v>2.3919691119691116E-6</v>
      </c>
      <c r="M101" s="43">
        <f t="shared" si="49"/>
        <v>1.1660849420849419E-6</v>
      </c>
      <c r="N101" s="43">
        <f t="shared" si="50"/>
        <v>1.5946460746460745E-8</v>
      </c>
      <c r="O101" s="43">
        <f t="shared" si="51"/>
        <v>1.0903898856840032E-2</v>
      </c>
      <c r="P101" s="43">
        <f t="shared" si="52"/>
        <v>1.3059096070860774E-3</v>
      </c>
      <c r="Q101" s="43">
        <v>90.36</v>
      </c>
      <c r="R101" s="43">
        <f t="shared" si="53"/>
        <v>5.1444923915512154E-4</v>
      </c>
      <c r="S101" s="43">
        <f t="shared" si="54"/>
        <v>6.2789189189189187E-2</v>
      </c>
      <c r="T101" s="43">
        <f t="shared" si="55"/>
        <v>0.12557837837837837</v>
      </c>
      <c r="U101" s="43">
        <f t="shared" si="56"/>
        <v>3.1711711711711707E-7</v>
      </c>
      <c r="V101" s="43">
        <f t="shared" si="57"/>
        <v>1.9933075933075932E-8</v>
      </c>
      <c r="W101" s="43">
        <f t="shared" si="58"/>
        <v>2.2651222651222648E-7</v>
      </c>
      <c r="X101" s="43">
        <f t="shared" si="59"/>
        <v>2.2651222651222649E-16</v>
      </c>
      <c r="Y101" s="205">
        <f t="shared" si="60"/>
        <v>3.7491803802861687</v>
      </c>
    </row>
    <row r="102" spans="1:27">
      <c r="A102" t="s">
        <v>784</v>
      </c>
      <c r="D102">
        <v>2</v>
      </c>
      <c r="E102">
        <v>1.2</v>
      </c>
      <c r="H102" s="1">
        <f t="shared" si="44"/>
        <v>0</v>
      </c>
      <c r="I102" s="43">
        <f t="shared" si="45"/>
        <v>1.2977845868725867E-6</v>
      </c>
      <c r="J102" s="1">
        <f t="shared" si="46"/>
        <v>0</v>
      </c>
      <c r="K102" s="1">
        <f t="shared" si="47"/>
        <v>0</v>
      </c>
      <c r="L102" s="43">
        <f t="shared" si="48"/>
        <v>4.7839382239382231E-6</v>
      </c>
      <c r="M102" s="43">
        <f t="shared" si="49"/>
        <v>2.3321698841698838E-6</v>
      </c>
      <c r="N102" s="43">
        <f t="shared" si="50"/>
        <v>3.1892921492921491E-8</v>
      </c>
      <c r="O102" s="43">
        <f t="shared" si="51"/>
        <v>1.0903898856840032E-2</v>
      </c>
      <c r="P102" s="43">
        <f t="shared" si="52"/>
        <v>2.6118192141721549E-3</v>
      </c>
      <c r="Q102" s="43">
        <v>91.36</v>
      </c>
      <c r="R102" s="43">
        <f t="shared" si="53"/>
        <v>1.0288984783102431E-3</v>
      </c>
      <c r="S102" s="43">
        <f t="shared" si="54"/>
        <v>0.12557837837837837</v>
      </c>
      <c r="T102" s="43">
        <f t="shared" si="55"/>
        <v>0.25115675675675675</v>
      </c>
      <c r="U102" s="43">
        <f t="shared" si="56"/>
        <v>6.3423423423423414E-7</v>
      </c>
      <c r="V102" s="43">
        <f t="shared" si="57"/>
        <v>3.9866151866151864E-8</v>
      </c>
      <c r="W102" s="43">
        <f t="shared" si="58"/>
        <v>4.5302445302445296E-7</v>
      </c>
      <c r="X102" s="43">
        <f t="shared" si="59"/>
        <v>4.5302445302445297E-16</v>
      </c>
      <c r="Y102" s="205">
        <f t="shared" si="60"/>
        <v>3.9215619028238322</v>
      </c>
    </row>
    <row r="103" spans="1:27">
      <c r="A103" t="s">
        <v>785</v>
      </c>
      <c r="D103">
        <v>1</v>
      </c>
      <c r="E103">
        <v>1.2</v>
      </c>
      <c r="H103" s="1">
        <f t="shared" si="44"/>
        <v>0</v>
      </c>
      <c r="I103" s="43">
        <f t="shared" si="45"/>
        <v>6.4889229343629337E-7</v>
      </c>
      <c r="J103" s="1">
        <f t="shared" si="46"/>
        <v>0</v>
      </c>
      <c r="K103" s="1">
        <f t="shared" si="47"/>
        <v>0</v>
      </c>
      <c r="L103" s="43">
        <f t="shared" si="48"/>
        <v>2.3919691119691116E-6</v>
      </c>
      <c r="M103" s="43">
        <f t="shared" si="49"/>
        <v>1.1660849420849419E-6</v>
      </c>
      <c r="N103" s="43">
        <f t="shared" si="50"/>
        <v>1.5946460746460745E-8</v>
      </c>
      <c r="O103" s="43">
        <f t="shared" si="51"/>
        <v>1.0903898856840032E-2</v>
      </c>
      <c r="P103" s="43">
        <f t="shared" si="52"/>
        <v>1.3059096070860774E-3</v>
      </c>
      <c r="Q103" s="43">
        <v>92.36</v>
      </c>
      <c r="R103" s="43">
        <f t="shared" si="53"/>
        <v>5.1444923915512154E-4</v>
      </c>
      <c r="S103" s="43">
        <f t="shared" si="54"/>
        <v>6.2789189189189187E-2</v>
      </c>
      <c r="T103" s="43">
        <f t="shared" si="55"/>
        <v>0.12557837837837837</v>
      </c>
      <c r="U103" s="43">
        <f t="shared" si="56"/>
        <v>3.1711711711711707E-7</v>
      </c>
      <c r="V103" s="43">
        <f t="shared" si="57"/>
        <v>1.9933075933075932E-8</v>
      </c>
      <c r="W103" s="43">
        <f t="shared" si="58"/>
        <v>2.2651222651222648E-7</v>
      </c>
      <c r="X103" s="43">
        <f t="shared" si="59"/>
        <v>2.2651222651222649E-16</v>
      </c>
      <c r="Y103" s="205">
        <f t="shared" si="60"/>
        <v>3.8291803802861688</v>
      </c>
    </row>
    <row r="104" spans="1:27">
      <c r="A104" t="s">
        <v>786</v>
      </c>
      <c r="D104">
        <v>1</v>
      </c>
      <c r="E104">
        <v>1.2</v>
      </c>
      <c r="H104" s="1">
        <f t="shared" si="44"/>
        <v>0</v>
      </c>
      <c r="I104" s="43">
        <f t="shared" si="45"/>
        <v>6.4889229343629337E-7</v>
      </c>
      <c r="J104" s="1">
        <f t="shared" si="46"/>
        <v>0</v>
      </c>
      <c r="K104" s="1">
        <f t="shared" si="47"/>
        <v>0</v>
      </c>
      <c r="L104" s="43">
        <f t="shared" si="48"/>
        <v>2.3919691119691116E-6</v>
      </c>
      <c r="M104" s="43">
        <f t="shared" si="49"/>
        <v>1.1660849420849419E-6</v>
      </c>
      <c r="N104" s="43">
        <f t="shared" si="50"/>
        <v>1.5946460746460745E-8</v>
      </c>
      <c r="O104" s="43">
        <f t="shared" si="51"/>
        <v>1.0903898856840032E-2</v>
      </c>
      <c r="P104" s="43">
        <f t="shared" si="52"/>
        <v>1.3059096070860774E-3</v>
      </c>
      <c r="Q104" s="43">
        <v>93.36</v>
      </c>
      <c r="R104" s="43">
        <f t="shared" si="53"/>
        <v>5.1444923915512154E-4</v>
      </c>
      <c r="S104" s="43">
        <f t="shared" si="54"/>
        <v>6.2789189189189187E-2</v>
      </c>
      <c r="T104" s="43">
        <f t="shared" si="55"/>
        <v>0.12557837837837837</v>
      </c>
      <c r="U104" s="43">
        <f t="shared" si="56"/>
        <v>3.1711711711711707E-7</v>
      </c>
      <c r="V104" s="43">
        <f t="shared" si="57"/>
        <v>1.9933075933075932E-8</v>
      </c>
      <c r="W104" s="43">
        <f t="shared" si="58"/>
        <v>2.2651222651222648E-7</v>
      </c>
      <c r="X104" s="43">
        <f t="shared" si="59"/>
        <v>2.2651222651222649E-16</v>
      </c>
      <c r="Y104" s="205">
        <f t="shared" si="60"/>
        <v>3.8691803802861688</v>
      </c>
    </row>
    <row r="105" spans="1:27">
      <c r="A105" t="s">
        <v>787</v>
      </c>
      <c r="D105">
        <v>1</v>
      </c>
      <c r="E105">
        <v>1.2</v>
      </c>
      <c r="H105" s="1">
        <f t="shared" si="44"/>
        <v>0</v>
      </c>
      <c r="I105" s="43">
        <f t="shared" si="45"/>
        <v>6.4889229343629337E-7</v>
      </c>
      <c r="J105" s="1">
        <f t="shared" si="46"/>
        <v>0</v>
      </c>
      <c r="K105" s="1">
        <f t="shared" si="47"/>
        <v>0</v>
      </c>
      <c r="L105" s="43">
        <f t="shared" si="48"/>
        <v>2.3919691119691116E-6</v>
      </c>
      <c r="M105" s="43">
        <f t="shared" si="49"/>
        <v>1.1660849420849419E-6</v>
      </c>
      <c r="N105" s="43">
        <f t="shared" si="50"/>
        <v>1.5946460746460745E-8</v>
      </c>
      <c r="O105" s="43">
        <f t="shared" si="51"/>
        <v>1.0903898856840032E-2</v>
      </c>
      <c r="P105" s="43">
        <f t="shared" si="52"/>
        <v>1.3059096070860774E-3</v>
      </c>
      <c r="Q105" s="43">
        <v>94.36</v>
      </c>
      <c r="R105" s="43">
        <f t="shared" si="53"/>
        <v>5.1444923915512154E-4</v>
      </c>
      <c r="S105" s="43">
        <f t="shared" si="54"/>
        <v>6.2789189189189187E-2</v>
      </c>
      <c r="T105" s="43">
        <f t="shared" si="55"/>
        <v>0.12557837837837837</v>
      </c>
      <c r="U105" s="43">
        <f t="shared" si="56"/>
        <v>3.1711711711711707E-7</v>
      </c>
      <c r="V105" s="43">
        <f t="shared" si="57"/>
        <v>1.9933075933075932E-8</v>
      </c>
      <c r="W105" s="43">
        <f t="shared" si="58"/>
        <v>2.2651222651222648E-7</v>
      </c>
      <c r="X105" s="43">
        <f t="shared" si="59"/>
        <v>2.2651222651222649E-16</v>
      </c>
      <c r="Y105" s="205">
        <f t="shared" si="60"/>
        <v>3.9091803802861689</v>
      </c>
    </row>
    <row r="106" spans="1:27">
      <c r="A106" t="s">
        <v>788</v>
      </c>
      <c r="D106">
        <v>1</v>
      </c>
      <c r="E106">
        <v>1.2</v>
      </c>
      <c r="H106" s="1">
        <f t="shared" si="44"/>
        <v>0</v>
      </c>
      <c r="I106" s="43">
        <f t="shared" si="45"/>
        <v>6.4889229343629337E-7</v>
      </c>
      <c r="J106" s="1">
        <f t="shared" si="46"/>
        <v>0</v>
      </c>
      <c r="K106" s="1">
        <f t="shared" si="47"/>
        <v>0</v>
      </c>
      <c r="L106" s="43">
        <f t="shared" si="48"/>
        <v>2.3919691119691116E-6</v>
      </c>
      <c r="M106" s="43">
        <f t="shared" si="49"/>
        <v>1.1660849420849419E-6</v>
      </c>
      <c r="N106" s="43">
        <f t="shared" si="50"/>
        <v>1.5946460746460745E-8</v>
      </c>
      <c r="O106" s="43">
        <f t="shared" si="51"/>
        <v>1.0903898856840032E-2</v>
      </c>
      <c r="P106" s="43">
        <f t="shared" si="52"/>
        <v>1.3059096070860774E-3</v>
      </c>
      <c r="Q106" s="43">
        <v>95.36</v>
      </c>
      <c r="R106" s="43">
        <f t="shared" si="53"/>
        <v>5.1444923915512154E-4</v>
      </c>
      <c r="S106" s="43">
        <f t="shared" si="54"/>
        <v>6.2789189189189187E-2</v>
      </c>
      <c r="T106" s="43">
        <f t="shared" si="55"/>
        <v>0.12557837837837837</v>
      </c>
      <c r="U106" s="43">
        <f t="shared" si="56"/>
        <v>3.1711711711711707E-7</v>
      </c>
      <c r="V106" s="43">
        <f t="shared" si="57"/>
        <v>1.9933075933075932E-8</v>
      </c>
      <c r="W106" s="43">
        <f t="shared" si="58"/>
        <v>2.2651222651222648E-7</v>
      </c>
      <c r="X106" s="43">
        <f t="shared" si="59"/>
        <v>2.2651222651222649E-16</v>
      </c>
      <c r="Y106" s="205">
        <f t="shared" si="60"/>
        <v>3.9491803802861689</v>
      </c>
    </row>
    <row r="107" spans="1:27">
      <c r="A107" t="s">
        <v>789</v>
      </c>
      <c r="D107">
        <v>1</v>
      </c>
      <c r="E107">
        <v>1.2</v>
      </c>
      <c r="H107" s="1">
        <f t="shared" si="44"/>
        <v>0</v>
      </c>
      <c r="I107" s="43">
        <f t="shared" si="45"/>
        <v>6.4889229343629337E-7</v>
      </c>
      <c r="J107" s="1">
        <f t="shared" si="46"/>
        <v>0</v>
      </c>
      <c r="K107" s="1">
        <f t="shared" si="47"/>
        <v>0</v>
      </c>
      <c r="L107" s="43">
        <f t="shared" si="48"/>
        <v>2.3919691119691116E-6</v>
      </c>
      <c r="M107" s="43">
        <f t="shared" si="49"/>
        <v>1.1660849420849419E-6</v>
      </c>
      <c r="N107" s="43">
        <f t="shared" si="50"/>
        <v>1.5946460746460745E-8</v>
      </c>
      <c r="O107" s="43">
        <f t="shared" si="51"/>
        <v>1.0903898856840032E-2</v>
      </c>
      <c r="P107" s="43">
        <f t="shared" si="52"/>
        <v>1.3059096070860774E-3</v>
      </c>
      <c r="Q107" s="43">
        <v>96.36</v>
      </c>
      <c r="R107" s="43">
        <f t="shared" si="53"/>
        <v>5.1444923915512154E-4</v>
      </c>
      <c r="S107" s="43">
        <f t="shared" si="54"/>
        <v>6.2789189189189187E-2</v>
      </c>
      <c r="T107" s="43">
        <f t="shared" si="55"/>
        <v>0.12557837837837837</v>
      </c>
      <c r="U107" s="43">
        <f t="shared" si="56"/>
        <v>3.1711711711711707E-7</v>
      </c>
      <c r="V107" s="43">
        <f t="shared" si="57"/>
        <v>1.9933075933075932E-8</v>
      </c>
      <c r="W107" s="43">
        <f t="shared" si="58"/>
        <v>2.2651222651222648E-7</v>
      </c>
      <c r="X107" s="43">
        <f t="shared" si="59"/>
        <v>2.2651222651222649E-16</v>
      </c>
      <c r="Y107" s="205">
        <f t="shared" si="60"/>
        <v>3.9891803802861689</v>
      </c>
    </row>
    <row r="108" spans="1:27" ht="15.75">
      <c r="A108" s="45" t="s">
        <v>1862</v>
      </c>
      <c r="D108">
        <v>2019</v>
      </c>
      <c r="E108">
        <v>1.2</v>
      </c>
      <c r="F108">
        <v>0.73</v>
      </c>
      <c r="H108" s="1">
        <f t="shared" si="44"/>
        <v>1.3066999999999999E-4</v>
      </c>
      <c r="I108" s="43">
        <f t="shared" si="45"/>
        <v>1.3101135404478762E-3</v>
      </c>
      <c r="J108" s="1">
        <f t="shared" si="46"/>
        <v>9.7089999999999989E-7</v>
      </c>
      <c r="K108" s="1">
        <f t="shared" si="47"/>
        <v>1.9418000000000001E-4</v>
      </c>
      <c r="L108" s="43">
        <f t="shared" si="48"/>
        <v>4.8293856370656366E-3</v>
      </c>
      <c r="M108" s="43">
        <f t="shared" si="49"/>
        <v>2.3543254980694975E-3</v>
      </c>
      <c r="N108" s="43">
        <f t="shared" si="50"/>
        <v>3.2195904247104243E-5</v>
      </c>
      <c r="O108" s="43">
        <f t="shared" si="51"/>
        <v>1.0903898856840032E-2</v>
      </c>
      <c r="P108" s="43">
        <f t="shared" si="52"/>
        <v>2.6366314967067903</v>
      </c>
      <c r="Q108" s="43">
        <v>97.36</v>
      </c>
      <c r="R108" s="43">
        <f t="shared" si="53"/>
        <v>1.0386730138541904</v>
      </c>
      <c r="S108" s="43">
        <f t="shared" si="54"/>
        <v>126.77137297297297</v>
      </c>
      <c r="T108" s="43">
        <f t="shared" si="55"/>
        <v>253.54274594594594</v>
      </c>
      <c r="U108" s="43">
        <f t="shared" si="56"/>
        <v>6.4025945945945931E-4</v>
      </c>
      <c r="V108" s="43">
        <f t="shared" si="57"/>
        <v>4.0244880308880305E-5</v>
      </c>
      <c r="W108" s="43">
        <f t="shared" si="58"/>
        <v>4.5732818532818526E-4</v>
      </c>
      <c r="X108" s="43">
        <f t="shared" si="59"/>
        <v>4.5732818532818529E-13</v>
      </c>
      <c r="Y108" s="205">
        <f t="shared" si="60"/>
        <v>279.36155011129142</v>
      </c>
    </row>
    <row r="109" spans="1:27" s="45" customFormat="1">
      <c r="A109" s="45" t="s">
        <v>931</v>
      </c>
      <c r="D109" s="45">
        <v>160</v>
      </c>
      <c r="E109" s="45">
        <v>1.2</v>
      </c>
      <c r="F109" s="45">
        <v>0.12</v>
      </c>
      <c r="H109" s="128">
        <f t="shared" si="44"/>
        <v>2.1479999999999998E-5</v>
      </c>
      <c r="I109" s="129">
        <f t="shared" si="45"/>
        <v>1.0382276694980694E-4</v>
      </c>
      <c r="J109" s="128">
        <f t="shared" si="46"/>
        <v>1.596E-7</v>
      </c>
      <c r="K109" s="128">
        <f t="shared" si="47"/>
        <v>3.1919999999999999E-5</v>
      </c>
      <c r="L109" s="129">
        <f t="shared" si="48"/>
        <v>3.8271505791505784E-4</v>
      </c>
      <c r="M109" s="129">
        <f t="shared" si="49"/>
        <v>1.865735907335907E-4</v>
      </c>
      <c r="N109" s="129">
        <f t="shared" si="50"/>
        <v>2.5514337194337193E-6</v>
      </c>
      <c r="O109" s="129">
        <f t="shared" si="51"/>
        <v>1.0903898856840032E-2</v>
      </c>
      <c r="P109" s="129">
        <f t="shared" si="52"/>
        <v>0.2089455371337724</v>
      </c>
      <c r="Q109" s="129">
        <v>98.36</v>
      </c>
      <c r="R109" s="129">
        <f t="shared" si="53"/>
        <v>8.2311878264819449E-2</v>
      </c>
      <c r="S109" s="129">
        <f t="shared" si="54"/>
        <v>10.04627027027027</v>
      </c>
      <c r="T109" s="129">
        <f t="shared" si="55"/>
        <v>20.09254054054054</v>
      </c>
      <c r="U109" s="129">
        <f t="shared" si="56"/>
        <v>5.0738738738738734E-5</v>
      </c>
      <c r="V109" s="129">
        <f t="shared" si="57"/>
        <v>3.1892921492921492E-6</v>
      </c>
      <c r="W109" s="129">
        <f t="shared" si="58"/>
        <v>3.6241956241956238E-5</v>
      </c>
      <c r="X109" s="129">
        <f t="shared" si="59"/>
        <v>3.6241956241956236E-14</v>
      </c>
      <c r="Y109" s="205">
        <f t="shared" si="60"/>
        <v>26.463561463774699</v>
      </c>
      <c r="AA109" s="88" t="s">
        <v>1047</v>
      </c>
    </row>
    <row r="110" spans="1:27">
      <c r="A110" s="132" t="s">
        <v>274</v>
      </c>
      <c r="H110" s="1"/>
      <c r="I110" s="1"/>
      <c r="J110" s="1"/>
      <c r="K110" s="1"/>
      <c r="L110" s="1"/>
      <c r="M110" s="1"/>
      <c r="N110" s="1"/>
      <c r="O110" s="1"/>
      <c r="P110" s="1"/>
      <c r="Q110" s="1"/>
      <c r="R110" s="1"/>
      <c r="S110" s="1"/>
      <c r="T110" s="1"/>
      <c r="U110" s="1"/>
      <c r="V110" s="1"/>
      <c r="W110" s="1"/>
      <c r="X110" s="1"/>
      <c r="Y110" s="197"/>
    </row>
    <row r="111" spans="1:27">
      <c r="A111" s="45" t="s">
        <v>638</v>
      </c>
      <c r="D111">
        <v>3</v>
      </c>
      <c r="E111">
        <v>1.2</v>
      </c>
      <c r="F111">
        <v>0.51</v>
      </c>
      <c r="H111" s="1">
        <f t="shared" ref="H111:H120" si="61">F111*0.000179</f>
        <v>9.1289999999999988E-5</v>
      </c>
      <c r="I111" s="43">
        <f t="shared" si="45"/>
        <v>1.9466768803088802E-6</v>
      </c>
      <c r="J111" s="1">
        <f t="shared" si="46"/>
        <v>6.7830000000000003E-7</v>
      </c>
      <c r="K111" s="1">
        <f t="shared" si="47"/>
        <v>1.3566000000000001E-4</v>
      </c>
      <c r="L111" s="43">
        <f t="shared" ref="L111:L120" si="62">CO2_malnutrition_charfact*D111</f>
        <v>7.1759073359073351E-6</v>
      </c>
      <c r="M111" s="43">
        <f t="shared" ref="M111:M120" si="63">CO2_workingcapacity_charfact*D111</f>
        <v>3.4982548262548259E-6</v>
      </c>
      <c r="N111" s="43">
        <f t="shared" ref="N111:N120" si="64">CO2_diarrhea_charfact*D111</f>
        <v>4.7839382239382236E-8</v>
      </c>
      <c r="O111" s="43">
        <f t="shared" ref="O111:O120" si="65">CO2_crop_charfact</f>
        <v>1.0903898856840032E-2</v>
      </c>
      <c r="P111" s="43">
        <f t="shared" ref="P111:P120" si="66">CO2_fruitandveg_charfact*D111</f>
        <v>3.9177288212582321E-3</v>
      </c>
      <c r="Q111" s="43">
        <v>98.36</v>
      </c>
      <c r="R111" s="43">
        <f t="shared" ref="R111:R120" si="67">CO2_meatandfish_charfact*D111</f>
        <v>1.5433477174653645E-3</v>
      </c>
      <c r="S111" s="43">
        <f t="shared" ref="S111:S120" si="68">CO2_drinkingwater_charfact*D111</f>
        <v>0.18836756756756756</v>
      </c>
      <c r="T111" s="43">
        <f t="shared" ref="T111:T120" si="69">CO2_irrigationwater_charfact*D111</f>
        <v>0.37673513513513512</v>
      </c>
      <c r="U111" s="43">
        <f t="shared" ref="U111:U120" si="70">CO2_energyaccess_charfact*D111</f>
        <v>9.5135135135135121E-7</v>
      </c>
      <c r="V111" s="43">
        <f t="shared" ref="V111:V120" si="71">CO2_housing_charfact*D111</f>
        <v>5.9799227799227792E-8</v>
      </c>
      <c r="W111" s="43">
        <f t="shared" ref="W111:W120" si="72">CO2_separations_charfact*D111</f>
        <v>6.7953667953667942E-7</v>
      </c>
      <c r="X111" s="43">
        <f t="shared" ref="X111:X120" si="73">CO2_NEX_charfact*D111</f>
        <v>6.7953667953667951E-16</v>
      </c>
      <c r="Y111" s="205">
        <f t="shared" ref="Y111:Y120" si="74">(H111+I111)*YOLLvalue+J111*skincancervalue+K111*Lowvisionvalue+L111*malnutrition+M111*working_capacity+N111*diarrhea+O111*cropvalue+P111*Fruitandveg_value+Q111*woodvalue+R111*fishandmeatvalue+S111*drinkingwatervalue+T111*irrigationwatervalue+U111*energy_access+V111*housingvalue+W111*migrationvalue+X111*speciesvalue</f>
        <v>10.053249175361493</v>
      </c>
    </row>
    <row r="112" spans="1:27">
      <c r="A112" s="45" t="s">
        <v>790</v>
      </c>
      <c r="D112">
        <v>1</v>
      </c>
      <c r="E112">
        <v>1.2</v>
      </c>
      <c r="H112" s="1">
        <f t="shared" si="61"/>
        <v>0</v>
      </c>
      <c r="I112" s="43">
        <f t="shared" si="45"/>
        <v>6.4889229343629337E-7</v>
      </c>
      <c r="J112" s="1">
        <f t="shared" si="46"/>
        <v>0</v>
      </c>
      <c r="K112" s="1">
        <f t="shared" si="47"/>
        <v>0</v>
      </c>
      <c r="L112" s="43">
        <f t="shared" si="62"/>
        <v>2.3919691119691116E-6</v>
      </c>
      <c r="M112" s="43">
        <f t="shared" si="63"/>
        <v>1.1660849420849419E-6</v>
      </c>
      <c r="N112" s="43">
        <f t="shared" si="64"/>
        <v>1.5946460746460745E-8</v>
      </c>
      <c r="O112" s="43">
        <f t="shared" si="65"/>
        <v>1.0903898856840032E-2</v>
      </c>
      <c r="P112" s="43">
        <f t="shared" si="66"/>
        <v>1.3059096070860774E-3</v>
      </c>
      <c r="Q112" s="43">
        <v>99.36</v>
      </c>
      <c r="R112" s="43">
        <f t="shared" si="67"/>
        <v>5.1444923915512154E-4</v>
      </c>
      <c r="S112" s="43">
        <f t="shared" si="68"/>
        <v>6.2789189189189187E-2</v>
      </c>
      <c r="T112" s="43">
        <f t="shared" si="69"/>
        <v>0.12557837837837837</v>
      </c>
      <c r="U112" s="43">
        <f t="shared" si="70"/>
        <v>3.1711711711711707E-7</v>
      </c>
      <c r="V112" s="43">
        <f t="shared" si="71"/>
        <v>1.9933075933075932E-8</v>
      </c>
      <c r="W112" s="43">
        <f t="shared" si="72"/>
        <v>2.2651222651222648E-7</v>
      </c>
      <c r="X112" s="43">
        <f t="shared" si="73"/>
        <v>2.2651222651222649E-16</v>
      </c>
      <c r="Y112" s="205">
        <f t="shared" si="74"/>
        <v>4.1091803802861691</v>
      </c>
    </row>
    <row r="113" spans="1:25">
      <c r="A113" s="45" t="s">
        <v>792</v>
      </c>
      <c r="D113">
        <v>454</v>
      </c>
      <c r="E113">
        <v>1.2</v>
      </c>
      <c r="F113">
        <v>0.74</v>
      </c>
      <c r="H113" s="1">
        <f t="shared" si="61"/>
        <v>1.3245999999999999E-4</v>
      </c>
      <c r="I113" s="43">
        <f t="shared" si="45"/>
        <v>2.945971012200772E-4</v>
      </c>
      <c r="J113" s="1">
        <f t="shared" si="46"/>
        <v>9.8420000000000004E-7</v>
      </c>
      <c r="K113" s="1">
        <f t="shared" si="47"/>
        <v>1.9684000000000002E-4</v>
      </c>
      <c r="L113" s="43">
        <f t="shared" si="62"/>
        <v>1.0859539768339767E-3</v>
      </c>
      <c r="M113" s="43">
        <f t="shared" si="63"/>
        <v>5.2940256370656363E-4</v>
      </c>
      <c r="N113" s="43">
        <f t="shared" si="64"/>
        <v>7.2396931788931784E-6</v>
      </c>
      <c r="O113" s="43">
        <f t="shared" si="65"/>
        <v>1.0903898856840032E-2</v>
      </c>
      <c r="P113" s="43">
        <f t="shared" si="66"/>
        <v>0.59288296161707921</v>
      </c>
      <c r="Q113" s="43">
        <v>100.36</v>
      </c>
      <c r="R113" s="43">
        <f t="shared" si="67"/>
        <v>0.23355995457642517</v>
      </c>
      <c r="S113" s="43">
        <f t="shared" si="68"/>
        <v>28.506291891891891</v>
      </c>
      <c r="T113" s="43">
        <f t="shared" si="69"/>
        <v>57.012583783783782</v>
      </c>
      <c r="U113" s="43">
        <f t="shared" si="70"/>
        <v>1.4397117117117116E-4</v>
      </c>
      <c r="V113" s="43">
        <f t="shared" si="71"/>
        <v>9.0496164736164728E-6</v>
      </c>
      <c r="W113" s="43">
        <f t="shared" si="72"/>
        <v>1.0283655083655083E-4</v>
      </c>
      <c r="X113" s="43">
        <f t="shared" si="73"/>
        <v>1.0283655083655083E-13</v>
      </c>
      <c r="Y113" s="205">
        <f t="shared" si="74"/>
        <v>72.416610589847835</v>
      </c>
    </row>
    <row r="114" spans="1:25">
      <c r="A114" s="45" t="s">
        <v>791</v>
      </c>
      <c r="D114">
        <v>280</v>
      </c>
      <c r="E114">
        <v>1.2</v>
      </c>
      <c r="H114" s="1">
        <f t="shared" si="61"/>
        <v>0</v>
      </c>
      <c r="I114" s="43">
        <f t="shared" si="45"/>
        <v>1.8168984216216215E-4</v>
      </c>
      <c r="J114" s="1">
        <f t="shared" si="46"/>
        <v>0</v>
      </c>
      <c r="K114" s="1">
        <f t="shared" si="47"/>
        <v>0</v>
      </c>
      <c r="L114" s="43">
        <f t="shared" si="62"/>
        <v>6.6975135135135123E-4</v>
      </c>
      <c r="M114" s="43">
        <f t="shared" si="63"/>
        <v>3.2650378378378371E-4</v>
      </c>
      <c r="N114" s="43">
        <f t="shared" si="64"/>
        <v>4.4650090090090086E-6</v>
      </c>
      <c r="O114" s="43">
        <f t="shared" si="65"/>
        <v>1.0903898856840032E-2</v>
      </c>
      <c r="P114" s="43">
        <f t="shared" si="66"/>
        <v>0.36565468998410167</v>
      </c>
      <c r="Q114" s="43">
        <v>101.36</v>
      </c>
      <c r="R114" s="43">
        <f t="shared" si="67"/>
        <v>0.14404578696343404</v>
      </c>
      <c r="S114" s="43">
        <f t="shared" si="68"/>
        <v>17.580972972972972</v>
      </c>
      <c r="T114" s="43">
        <f t="shared" si="69"/>
        <v>35.161945945945945</v>
      </c>
      <c r="U114" s="43">
        <f t="shared" si="70"/>
        <v>8.8792792792792785E-5</v>
      </c>
      <c r="V114" s="43">
        <f t="shared" si="71"/>
        <v>5.5812612612612608E-6</v>
      </c>
      <c r="W114" s="43">
        <f t="shared" si="72"/>
        <v>6.3423423423423418E-5</v>
      </c>
      <c r="X114" s="43">
        <f t="shared" si="73"/>
        <v>6.3423423423423418E-14</v>
      </c>
      <c r="Y114" s="205">
        <f t="shared" si="74"/>
        <v>41.123625168294339</v>
      </c>
    </row>
    <row r="115" spans="1:25">
      <c r="A115" s="45" t="s">
        <v>793</v>
      </c>
      <c r="D115">
        <v>2070</v>
      </c>
      <c r="E115">
        <v>1.2</v>
      </c>
      <c r="F115">
        <v>7.1</v>
      </c>
      <c r="H115" s="1">
        <f t="shared" si="61"/>
        <v>1.2708999999999999E-3</v>
      </c>
      <c r="I115" s="43">
        <f t="shared" si="45"/>
        <v>1.3432070474131274E-3</v>
      </c>
      <c r="J115" s="1">
        <f t="shared" si="46"/>
        <v>9.4429999999999992E-6</v>
      </c>
      <c r="K115" s="1">
        <f t="shared" si="47"/>
        <v>1.8886E-3</v>
      </c>
      <c r="L115" s="43">
        <f t="shared" si="62"/>
        <v>4.9513760617760612E-3</v>
      </c>
      <c r="M115" s="43">
        <f t="shared" si="63"/>
        <v>2.4137958301158296E-3</v>
      </c>
      <c r="N115" s="43">
        <f t="shared" si="64"/>
        <v>3.3009173745173741E-5</v>
      </c>
      <c r="O115" s="43">
        <f t="shared" si="65"/>
        <v>1.0903898856840032E-2</v>
      </c>
      <c r="P115" s="43">
        <f t="shared" si="66"/>
        <v>2.7032328866681805</v>
      </c>
      <c r="Q115" s="43">
        <v>102.36</v>
      </c>
      <c r="R115" s="43">
        <f t="shared" si="67"/>
        <v>1.0649099250511016</v>
      </c>
      <c r="S115" s="43">
        <f t="shared" si="68"/>
        <v>129.97362162162162</v>
      </c>
      <c r="T115" s="43">
        <f t="shared" si="69"/>
        <v>259.94724324324324</v>
      </c>
      <c r="U115" s="43">
        <f t="shared" si="70"/>
        <v>6.5643243243243229E-4</v>
      </c>
      <c r="V115" s="43">
        <f t="shared" si="71"/>
        <v>4.1261467181467181E-5</v>
      </c>
      <c r="W115" s="43">
        <f t="shared" si="72"/>
        <v>4.6888030888030883E-4</v>
      </c>
      <c r="X115" s="43">
        <f t="shared" si="73"/>
        <v>4.6888030888030883E-13</v>
      </c>
      <c r="Y115" s="205">
        <f t="shared" si="74"/>
        <v>357.74825801071245</v>
      </c>
    </row>
    <row r="116" spans="1:25">
      <c r="A116" s="45" t="s">
        <v>794</v>
      </c>
      <c r="D116">
        <v>7154</v>
      </c>
      <c r="E116">
        <v>1.2</v>
      </c>
      <c r="F116">
        <v>16</v>
      </c>
      <c r="H116" s="1">
        <f t="shared" si="61"/>
        <v>2.8639999999999998E-3</v>
      </c>
      <c r="I116" s="43">
        <f t="shared" si="45"/>
        <v>4.6421754672432425E-3</v>
      </c>
      <c r="J116" s="1">
        <f t="shared" si="46"/>
        <v>2.128E-5</v>
      </c>
      <c r="K116" s="1">
        <f t="shared" si="47"/>
        <v>4.2560000000000002E-3</v>
      </c>
      <c r="L116" s="43">
        <f t="shared" si="62"/>
        <v>1.7112147027027024E-2</v>
      </c>
      <c r="M116" s="43">
        <f t="shared" si="63"/>
        <v>8.3421716756756741E-3</v>
      </c>
      <c r="N116" s="43">
        <f t="shared" si="64"/>
        <v>1.1408098018018018E-4</v>
      </c>
      <c r="O116" s="43">
        <f t="shared" si="65"/>
        <v>1.0903898856840032E-2</v>
      </c>
      <c r="P116" s="43">
        <f t="shared" si="66"/>
        <v>9.3424773290937981</v>
      </c>
      <c r="Q116" s="43">
        <v>103.36</v>
      </c>
      <c r="R116" s="43">
        <f t="shared" si="67"/>
        <v>3.6803698569157395</v>
      </c>
      <c r="S116" s="43">
        <f t="shared" si="68"/>
        <v>449.19385945945942</v>
      </c>
      <c r="T116" s="43">
        <f t="shared" si="69"/>
        <v>898.38771891891884</v>
      </c>
      <c r="U116" s="43">
        <f t="shared" si="70"/>
        <v>2.2686558558558554E-3</v>
      </c>
      <c r="V116" s="43">
        <f t="shared" si="71"/>
        <v>1.4260122522522523E-4</v>
      </c>
      <c r="W116" s="43">
        <f t="shared" si="72"/>
        <v>1.6204684684684684E-3</v>
      </c>
      <c r="X116" s="43">
        <f t="shared" si="73"/>
        <v>1.6204684684684684E-12</v>
      </c>
      <c r="Y116" s="205">
        <f t="shared" si="74"/>
        <v>1130.6234110921944</v>
      </c>
    </row>
    <row r="117" spans="1:25">
      <c r="A117" s="45" t="s">
        <v>795</v>
      </c>
      <c r="D117">
        <v>210</v>
      </c>
      <c r="E117">
        <v>1.2</v>
      </c>
      <c r="H117" s="1">
        <f t="shared" si="61"/>
        <v>0</v>
      </c>
      <c r="I117" s="43">
        <f t="shared" si="45"/>
        <v>1.3626738162162162E-4</v>
      </c>
      <c r="J117" s="1">
        <f t="shared" si="46"/>
        <v>0</v>
      </c>
      <c r="K117" s="1">
        <f t="shared" si="47"/>
        <v>0</v>
      </c>
      <c r="L117" s="43">
        <f t="shared" si="62"/>
        <v>5.023135135135134E-4</v>
      </c>
      <c r="M117" s="43">
        <f t="shared" si="63"/>
        <v>2.448778378378378E-4</v>
      </c>
      <c r="N117" s="43">
        <f t="shared" si="64"/>
        <v>3.3487567567567565E-6</v>
      </c>
      <c r="O117" s="43">
        <f t="shared" si="65"/>
        <v>1.0903898856840032E-2</v>
      </c>
      <c r="P117" s="43">
        <f t="shared" si="66"/>
        <v>0.27424101748807628</v>
      </c>
      <c r="Q117" s="43">
        <v>104.36</v>
      </c>
      <c r="R117" s="43">
        <f t="shared" si="67"/>
        <v>0.10803434022257552</v>
      </c>
      <c r="S117" s="43">
        <f t="shared" si="68"/>
        <v>13.185729729729729</v>
      </c>
      <c r="T117" s="43">
        <f t="shared" si="69"/>
        <v>26.371459459459459</v>
      </c>
      <c r="U117" s="43">
        <f t="shared" si="70"/>
        <v>6.6594594594594582E-5</v>
      </c>
      <c r="V117" s="43">
        <f t="shared" si="71"/>
        <v>4.1859459459459454E-6</v>
      </c>
      <c r="W117" s="43">
        <f t="shared" si="72"/>
        <v>4.7567567567567564E-5</v>
      </c>
      <c r="X117" s="43">
        <f t="shared" si="73"/>
        <v>4.7567567567567564E-14</v>
      </c>
      <c r="Y117" s="205">
        <f t="shared" si="74"/>
        <v>31.976918590657881</v>
      </c>
    </row>
    <row r="118" spans="1:25">
      <c r="A118" s="45" t="s">
        <v>796</v>
      </c>
      <c r="D118">
        <v>50</v>
      </c>
      <c r="E118">
        <v>1.2</v>
      </c>
      <c r="H118" s="1">
        <f t="shared" si="61"/>
        <v>0</v>
      </c>
      <c r="I118" s="43">
        <f t="shared" si="45"/>
        <v>3.2444614671814671E-5</v>
      </c>
      <c r="J118" s="1">
        <f t="shared" si="46"/>
        <v>0</v>
      </c>
      <c r="K118" s="1">
        <f t="shared" si="47"/>
        <v>0</v>
      </c>
      <c r="L118" s="43">
        <f t="shared" si="62"/>
        <v>1.1959845559845558E-4</v>
      </c>
      <c r="M118" s="43">
        <f t="shared" si="63"/>
        <v>5.8304247104247094E-5</v>
      </c>
      <c r="N118" s="43">
        <f t="shared" si="64"/>
        <v>7.973230373230373E-7</v>
      </c>
      <c r="O118" s="43">
        <f t="shared" si="65"/>
        <v>1.0903898856840032E-2</v>
      </c>
      <c r="P118" s="43">
        <f t="shared" si="66"/>
        <v>6.5295480354303867E-2</v>
      </c>
      <c r="Q118" s="43">
        <v>105.36</v>
      </c>
      <c r="R118" s="43">
        <f t="shared" si="67"/>
        <v>2.5722461957756078E-2</v>
      </c>
      <c r="S118" s="43">
        <f t="shared" si="68"/>
        <v>3.1394594594594594</v>
      </c>
      <c r="T118" s="43">
        <f t="shared" si="69"/>
        <v>6.2789189189189187</v>
      </c>
      <c r="U118" s="43">
        <f t="shared" si="70"/>
        <v>1.5855855855855855E-5</v>
      </c>
      <c r="V118" s="43">
        <f t="shared" si="71"/>
        <v>9.9665379665379659E-7</v>
      </c>
      <c r="W118" s="43">
        <f t="shared" si="72"/>
        <v>1.1325611325611324E-5</v>
      </c>
      <c r="X118" s="43">
        <f t="shared" si="73"/>
        <v>1.1325611325611324E-14</v>
      </c>
      <c r="Y118" s="205">
        <f t="shared" si="74"/>
        <v>10.83587498463169</v>
      </c>
    </row>
    <row r="119" spans="1:25">
      <c r="A119" s="45" t="s">
        <v>797</v>
      </c>
      <c r="D119">
        <v>223</v>
      </c>
      <c r="E119">
        <v>1.2</v>
      </c>
      <c r="H119" s="1">
        <f t="shared" si="61"/>
        <v>0</v>
      </c>
      <c r="I119" s="43">
        <f t="shared" si="45"/>
        <v>1.4470298143629343E-4</v>
      </c>
      <c r="J119" s="1">
        <f t="shared" si="46"/>
        <v>0</v>
      </c>
      <c r="K119" s="1">
        <f t="shared" si="47"/>
        <v>0</v>
      </c>
      <c r="L119" s="43">
        <f t="shared" si="62"/>
        <v>5.3340911196911192E-4</v>
      </c>
      <c r="M119" s="43">
        <f t="shared" si="63"/>
        <v>2.6003694208494207E-4</v>
      </c>
      <c r="N119" s="43">
        <f t="shared" si="64"/>
        <v>3.5560607464607464E-6</v>
      </c>
      <c r="O119" s="43">
        <f t="shared" si="65"/>
        <v>1.0903898856840032E-2</v>
      </c>
      <c r="P119" s="43">
        <f t="shared" si="66"/>
        <v>0.29121784238019527</v>
      </c>
      <c r="Q119" s="43">
        <v>106.36</v>
      </c>
      <c r="R119" s="43">
        <f t="shared" si="67"/>
        <v>0.11472218033159211</v>
      </c>
      <c r="S119" s="43">
        <f t="shared" si="68"/>
        <v>14.001989189189189</v>
      </c>
      <c r="T119" s="43">
        <f t="shared" si="69"/>
        <v>28.003978378378378</v>
      </c>
      <c r="U119" s="43">
        <f t="shared" si="70"/>
        <v>7.0717117117117105E-5</v>
      </c>
      <c r="V119" s="43">
        <f t="shared" si="71"/>
        <v>4.445075933075933E-6</v>
      </c>
      <c r="W119" s="43">
        <f t="shared" si="72"/>
        <v>5.0512226512226504E-5</v>
      </c>
      <c r="X119" s="43">
        <f t="shared" si="73"/>
        <v>5.0512226512226508E-14</v>
      </c>
      <c r="Y119" s="205">
        <f t="shared" si="74"/>
        <v>33.777878383647511</v>
      </c>
    </row>
    <row r="120" spans="1:25">
      <c r="A120" s="45" t="s">
        <v>798</v>
      </c>
      <c r="D120">
        <v>1734</v>
      </c>
      <c r="E120">
        <v>1.2</v>
      </c>
      <c r="F120">
        <v>11.5</v>
      </c>
      <c r="H120" s="1">
        <f t="shared" si="61"/>
        <v>2.0585E-3</v>
      </c>
      <c r="I120" s="43">
        <f t="shared" si="45"/>
        <v>1.1251792368185327E-3</v>
      </c>
      <c r="J120" s="1">
        <f t="shared" si="46"/>
        <v>1.5294999999999998E-5</v>
      </c>
      <c r="K120" s="1">
        <f t="shared" si="47"/>
        <v>3.0590000000000001E-3</v>
      </c>
      <c r="L120" s="43">
        <f t="shared" si="62"/>
        <v>4.1476744401544394E-3</v>
      </c>
      <c r="M120" s="43">
        <f t="shared" si="63"/>
        <v>2.0219912895752894E-3</v>
      </c>
      <c r="N120" s="43">
        <f t="shared" si="64"/>
        <v>2.7651162934362932E-5</v>
      </c>
      <c r="O120" s="43">
        <f t="shared" si="65"/>
        <v>1.0903898856840032E-2</v>
      </c>
      <c r="P120" s="43">
        <f t="shared" si="66"/>
        <v>2.2644472586872584</v>
      </c>
      <c r="Q120" s="43">
        <v>107.36</v>
      </c>
      <c r="R120" s="43">
        <f t="shared" si="67"/>
        <v>0.89205498069498079</v>
      </c>
      <c r="S120" s="43">
        <f t="shared" si="68"/>
        <v>108.87645405405405</v>
      </c>
      <c r="T120" s="43">
        <f t="shared" si="69"/>
        <v>217.7529081081081</v>
      </c>
      <c r="U120" s="43">
        <f t="shared" si="70"/>
        <v>5.4988108108108098E-4</v>
      </c>
      <c r="V120" s="43">
        <f t="shared" si="71"/>
        <v>3.4563953667953663E-5</v>
      </c>
      <c r="W120" s="43">
        <f t="shared" si="72"/>
        <v>3.9277220077220073E-4</v>
      </c>
      <c r="X120" s="43">
        <f t="shared" si="73"/>
        <v>3.9277220077220073E-13</v>
      </c>
      <c r="Y120" s="205">
        <f t="shared" si="74"/>
        <v>362.81109643805723</v>
      </c>
    </row>
    <row r="121" spans="1:25">
      <c r="A121" s="132" t="s">
        <v>964</v>
      </c>
      <c r="Y121" s="197"/>
    </row>
    <row r="122" spans="1:25">
      <c r="A122" t="s">
        <v>799</v>
      </c>
      <c r="D122">
        <v>17885</v>
      </c>
      <c r="E122">
        <v>1.2</v>
      </c>
      <c r="H122" s="1">
        <f t="shared" ref="H122:H185" si="75">F122*0.000179</f>
        <v>0</v>
      </c>
      <c r="I122" s="43">
        <f t="shared" si="45"/>
        <v>1.1605438668108106E-2</v>
      </c>
      <c r="J122" s="1">
        <f t="shared" si="46"/>
        <v>0</v>
      </c>
      <c r="K122" s="1">
        <f t="shared" si="47"/>
        <v>0</v>
      </c>
      <c r="L122" s="43">
        <f t="shared" ref="L122:L153" si="76">CO2_malnutrition_charfact*D122</f>
        <v>4.2780367567567562E-2</v>
      </c>
      <c r="M122" s="43">
        <f t="shared" ref="M122:M153" si="77">CO2_workingcapacity_charfact*D122</f>
        <v>2.0855429189189187E-2</v>
      </c>
      <c r="N122" s="43">
        <f t="shared" ref="N122:N153" si="78">CO2_diarrhea_charfact*D122</f>
        <v>2.8520245045045046E-4</v>
      </c>
      <c r="O122" s="43">
        <f t="shared" ref="O122:O153" si="79">CO2_crop_charfact</f>
        <v>1.0903898856840032E-2</v>
      </c>
      <c r="P122" s="43">
        <f t="shared" ref="P122:P153" si="80">CO2_fruitandveg_charfact*D122</f>
        <v>23.356193322734494</v>
      </c>
      <c r="Q122" s="43">
        <v>107.36</v>
      </c>
      <c r="R122" s="43">
        <f t="shared" ref="R122:R153" si="81">CO2_meatandfish_charfact*D122</f>
        <v>9.2009246422893494</v>
      </c>
      <c r="S122" s="43">
        <f t="shared" ref="S122:S153" si="82">CO2_drinkingwater_charfact*D122</f>
        <v>1122.9846486486485</v>
      </c>
      <c r="T122" s="43">
        <f t="shared" ref="T122:T153" si="83">CO2_irrigationwater_charfact*D122</f>
        <v>2245.9692972972971</v>
      </c>
      <c r="U122" s="43">
        <f t="shared" ref="U122:U153" si="84">CO2_energyaccess_charfact*D122</f>
        <v>5.671639639639639E-3</v>
      </c>
      <c r="V122" s="43">
        <f t="shared" ref="V122:V153" si="85">CO2_housing_charfact*D122</f>
        <v>3.5650306306306306E-4</v>
      </c>
      <c r="W122" s="43">
        <f t="shared" ref="W122:W153" si="86">CO2_separations_charfact*D122</f>
        <v>4.0511711711711702E-3</v>
      </c>
      <c r="X122" s="43">
        <f t="shared" ref="X122:X153" si="87">CO2_NEX_charfact*D122</f>
        <v>4.0511711711711706E-12</v>
      </c>
      <c r="Y122" s="205">
        <f t="shared" ref="Y122:Y153" si="88">(H122+I122)*YOLLvalue+J122*skincancervalue+K122*Lowvisionvalue+L122*malnutrition+M122*working_capacity+N122*diarrhea+O122*cropvalue+P122*Fruitandveg_value+Q122*woodvalue+R122*fishandmeatvalue+S122*drinkingwatervalue+T122*irrigationwatervalue+U122*energy_access+V122*housingvalue+W122*migrationvalue+X122*speciesvalue</f>
        <v>2371.9403294438644</v>
      </c>
    </row>
    <row r="123" spans="1:25">
      <c r="A123" t="s">
        <v>607</v>
      </c>
      <c r="D123">
        <v>26087</v>
      </c>
      <c r="E123">
        <v>1.2</v>
      </c>
      <c r="H123" s="1">
        <f t="shared" si="75"/>
        <v>0</v>
      </c>
      <c r="I123" s="43">
        <f t="shared" si="45"/>
        <v>1.6927653258872584E-2</v>
      </c>
      <c r="J123" s="1">
        <f t="shared" si="46"/>
        <v>0</v>
      </c>
      <c r="K123" s="1">
        <f t="shared" si="47"/>
        <v>0</v>
      </c>
      <c r="L123" s="43">
        <f t="shared" si="76"/>
        <v>6.2399298223938214E-2</v>
      </c>
      <c r="M123" s="43">
        <f t="shared" si="77"/>
        <v>3.0419657884169879E-2</v>
      </c>
      <c r="N123" s="43">
        <f t="shared" si="78"/>
        <v>4.1599532149292148E-4</v>
      </c>
      <c r="O123" s="43">
        <f t="shared" si="79"/>
        <v>1.0903898856840032E-2</v>
      </c>
      <c r="P123" s="43">
        <f t="shared" si="80"/>
        <v>34.067263920054501</v>
      </c>
      <c r="Q123" s="43">
        <v>108.36</v>
      </c>
      <c r="R123" s="43">
        <f t="shared" si="81"/>
        <v>13.420437301839655</v>
      </c>
      <c r="S123" s="43">
        <f t="shared" si="82"/>
        <v>1637.9815783783783</v>
      </c>
      <c r="T123" s="43">
        <f t="shared" si="83"/>
        <v>3275.9631567567567</v>
      </c>
      <c r="U123" s="43">
        <f t="shared" si="84"/>
        <v>8.2726342342342336E-3</v>
      </c>
      <c r="V123" s="43">
        <f t="shared" si="85"/>
        <v>5.1999415186615178E-4</v>
      </c>
      <c r="W123" s="43">
        <f t="shared" si="86"/>
        <v>5.9090244530244519E-3</v>
      </c>
      <c r="X123" s="43">
        <f t="shared" si="87"/>
        <v>5.9090244530244522E-12</v>
      </c>
      <c r="Y123" s="205">
        <f t="shared" si="88"/>
        <v>3457.7735772977817</v>
      </c>
    </row>
    <row r="124" spans="1:25">
      <c r="A124" t="s">
        <v>800</v>
      </c>
      <c r="D124">
        <v>19396</v>
      </c>
      <c r="E124">
        <v>1.2</v>
      </c>
      <c r="H124" s="1">
        <f t="shared" si="75"/>
        <v>0</v>
      </c>
      <c r="I124" s="43">
        <f t="shared" si="45"/>
        <v>1.2585914923490347E-2</v>
      </c>
      <c r="J124" s="1">
        <f t="shared" si="46"/>
        <v>0</v>
      </c>
      <c r="K124" s="1">
        <f t="shared" si="47"/>
        <v>0</v>
      </c>
      <c r="L124" s="43">
        <f t="shared" si="76"/>
        <v>4.6394632895752887E-2</v>
      </c>
      <c r="M124" s="43">
        <f t="shared" si="77"/>
        <v>2.2617383536679532E-2</v>
      </c>
      <c r="N124" s="43">
        <f t="shared" si="78"/>
        <v>3.092975526383526E-4</v>
      </c>
      <c r="O124" s="43">
        <f t="shared" si="79"/>
        <v>1.0903898856840032E-2</v>
      </c>
      <c r="P124" s="43">
        <f t="shared" si="80"/>
        <v>25.329422739041558</v>
      </c>
      <c r="Q124" s="43">
        <v>109.36</v>
      </c>
      <c r="R124" s="43">
        <f t="shared" si="81"/>
        <v>9.9782574426527368</v>
      </c>
      <c r="S124" s="43">
        <f t="shared" si="82"/>
        <v>1217.8591135135134</v>
      </c>
      <c r="T124" s="43">
        <f t="shared" si="83"/>
        <v>2435.7182270270268</v>
      </c>
      <c r="U124" s="43">
        <f t="shared" si="84"/>
        <v>6.1508036036036027E-3</v>
      </c>
      <c r="V124" s="43">
        <f t="shared" si="85"/>
        <v>3.8662194079794077E-4</v>
      </c>
      <c r="W124" s="43">
        <f t="shared" si="86"/>
        <v>4.3934311454311452E-3</v>
      </c>
      <c r="X124" s="43">
        <f t="shared" si="87"/>
        <v>4.3934311454311451E-12</v>
      </c>
      <c r="Y124" s="205">
        <f t="shared" si="88"/>
        <v>2572.0488099982736</v>
      </c>
    </row>
    <row r="125" spans="1:25">
      <c r="A125" t="s">
        <v>801</v>
      </c>
      <c r="D125">
        <v>4732</v>
      </c>
      <c r="E125">
        <v>1.2</v>
      </c>
      <c r="H125" s="1">
        <f t="shared" si="75"/>
        <v>0</v>
      </c>
      <c r="I125" s="43">
        <f t="shared" si="45"/>
        <v>3.0705583325405404E-3</v>
      </c>
      <c r="J125" s="1">
        <f t="shared" si="46"/>
        <v>0</v>
      </c>
      <c r="K125" s="1">
        <f t="shared" si="47"/>
        <v>0</v>
      </c>
      <c r="L125" s="43">
        <f t="shared" si="76"/>
        <v>1.1318797837837836E-2</v>
      </c>
      <c r="M125" s="43">
        <f t="shared" si="77"/>
        <v>5.517913945945945E-3</v>
      </c>
      <c r="N125" s="43">
        <f t="shared" si="78"/>
        <v>7.5458652252252244E-5</v>
      </c>
      <c r="O125" s="43">
        <f t="shared" si="79"/>
        <v>1.0903898856840032E-2</v>
      </c>
      <c r="P125" s="43">
        <f t="shared" si="80"/>
        <v>6.1795642607313184</v>
      </c>
      <c r="Q125" s="43">
        <v>110.36</v>
      </c>
      <c r="R125" s="43">
        <f t="shared" si="81"/>
        <v>2.4343737996820352</v>
      </c>
      <c r="S125" s="43">
        <f t="shared" si="82"/>
        <v>297.11844324324323</v>
      </c>
      <c r="T125" s="43">
        <f t="shared" si="83"/>
        <v>594.23688648648647</v>
      </c>
      <c r="U125" s="43">
        <f t="shared" si="84"/>
        <v>1.500598198198198E-3</v>
      </c>
      <c r="V125" s="43">
        <f t="shared" si="85"/>
        <v>9.4323315315315306E-5</v>
      </c>
      <c r="W125" s="43">
        <f t="shared" si="86"/>
        <v>1.0718558558558556E-3</v>
      </c>
      <c r="X125" s="43">
        <f t="shared" si="87"/>
        <v>1.0718558558558558E-12</v>
      </c>
      <c r="Y125" s="205">
        <f t="shared" si="88"/>
        <v>630.84616350597298</v>
      </c>
    </row>
    <row r="126" spans="1:25" s="88" customFormat="1">
      <c r="A126" s="45" t="s">
        <v>802</v>
      </c>
      <c r="D126" s="45">
        <v>7349</v>
      </c>
      <c r="E126" s="45">
        <v>1.2</v>
      </c>
      <c r="F126" s="45"/>
      <c r="G126" s="45"/>
      <c r="H126" s="128">
        <f t="shared" si="75"/>
        <v>0</v>
      </c>
      <c r="I126" s="129">
        <f t="shared" si="45"/>
        <v>4.7687094644633197E-3</v>
      </c>
      <c r="J126" s="128">
        <f t="shared" si="46"/>
        <v>0</v>
      </c>
      <c r="K126" s="128">
        <f t="shared" si="47"/>
        <v>0</v>
      </c>
      <c r="L126" s="129">
        <f t="shared" si="76"/>
        <v>1.7578581003861001E-2</v>
      </c>
      <c r="M126" s="129">
        <f t="shared" si="77"/>
        <v>8.5695582393822377E-3</v>
      </c>
      <c r="N126" s="129">
        <f t="shared" si="78"/>
        <v>1.1719054002574002E-4</v>
      </c>
      <c r="O126" s="129">
        <f t="shared" si="79"/>
        <v>1.0903898856840032E-2</v>
      </c>
      <c r="P126" s="129">
        <f t="shared" si="80"/>
        <v>9.5971297024755824</v>
      </c>
      <c r="Q126" s="129">
        <v>111.36</v>
      </c>
      <c r="R126" s="129">
        <f t="shared" si="81"/>
        <v>3.7806874585509882</v>
      </c>
      <c r="S126" s="129">
        <f t="shared" si="82"/>
        <v>461.43775135135132</v>
      </c>
      <c r="T126" s="129">
        <f t="shared" si="83"/>
        <v>922.87550270270265</v>
      </c>
      <c r="U126" s="129">
        <f t="shared" si="84"/>
        <v>2.3304936936936935E-3</v>
      </c>
      <c r="V126" s="129">
        <f t="shared" si="85"/>
        <v>1.4648817503217502E-4</v>
      </c>
      <c r="W126" s="129">
        <f t="shared" si="86"/>
        <v>1.6646383526383525E-3</v>
      </c>
      <c r="X126" s="129">
        <f t="shared" si="87"/>
        <v>1.6646383526383525E-12</v>
      </c>
      <c r="Y126" s="205">
        <f t="shared" si="88"/>
        <v>977.32860798703894</v>
      </c>
    </row>
    <row r="127" spans="1:25">
      <c r="A127" s="45" t="s">
        <v>803</v>
      </c>
      <c r="D127">
        <v>12340</v>
      </c>
      <c r="E127">
        <v>1.2</v>
      </c>
      <c r="H127" s="1">
        <f t="shared" si="75"/>
        <v>0</v>
      </c>
      <c r="I127" s="43">
        <f t="shared" si="45"/>
        <v>8.0073309010038601E-3</v>
      </c>
      <c r="J127" s="1">
        <f t="shared" si="46"/>
        <v>0</v>
      </c>
      <c r="K127" s="1">
        <f t="shared" si="47"/>
        <v>0</v>
      </c>
      <c r="L127" s="43">
        <f t="shared" si="76"/>
        <v>2.9516898841698835E-2</v>
      </c>
      <c r="M127" s="43">
        <f t="shared" si="77"/>
        <v>1.4389488185328182E-2</v>
      </c>
      <c r="N127" s="43">
        <f t="shared" si="78"/>
        <v>1.9677932561132559E-4</v>
      </c>
      <c r="O127" s="43">
        <f t="shared" si="79"/>
        <v>1.0903898856840032E-2</v>
      </c>
      <c r="P127" s="43">
        <f t="shared" si="80"/>
        <v>16.114924551442197</v>
      </c>
      <c r="Q127" s="43">
        <v>112.36</v>
      </c>
      <c r="R127" s="43">
        <f t="shared" si="81"/>
        <v>6.3483036111741997</v>
      </c>
      <c r="S127" s="43">
        <f t="shared" si="82"/>
        <v>774.81859459459452</v>
      </c>
      <c r="T127" s="43">
        <f t="shared" si="83"/>
        <v>1549.637189189189</v>
      </c>
      <c r="U127" s="43">
        <f t="shared" si="84"/>
        <v>3.913225225225225E-3</v>
      </c>
      <c r="V127" s="43">
        <f t="shared" si="85"/>
        <v>2.4597415701415698E-4</v>
      </c>
      <c r="W127" s="43">
        <f t="shared" si="86"/>
        <v>2.7951608751608749E-3</v>
      </c>
      <c r="X127" s="43">
        <f t="shared" si="87"/>
        <v>2.795160875160875E-12</v>
      </c>
      <c r="Y127" s="205">
        <f t="shared" si="88"/>
        <v>1638.0847869725187</v>
      </c>
    </row>
    <row r="128" spans="1:25">
      <c r="A128" s="45" t="s">
        <v>804</v>
      </c>
      <c r="D128">
        <v>10208</v>
      </c>
      <c r="E128">
        <v>1.2</v>
      </c>
      <c r="H128" s="1">
        <f t="shared" si="75"/>
        <v>0</v>
      </c>
      <c r="I128" s="43">
        <f t="shared" si="45"/>
        <v>6.6238925313976829E-3</v>
      </c>
      <c r="J128" s="1">
        <f t="shared" si="46"/>
        <v>0</v>
      </c>
      <c r="K128" s="1">
        <f t="shared" si="47"/>
        <v>0</v>
      </c>
      <c r="L128" s="43">
        <f t="shared" si="76"/>
        <v>2.4417220694980691E-2</v>
      </c>
      <c r="M128" s="43">
        <f t="shared" si="77"/>
        <v>1.1903395088803087E-2</v>
      </c>
      <c r="N128" s="43">
        <f t="shared" si="78"/>
        <v>1.6278147129987128E-4</v>
      </c>
      <c r="O128" s="43">
        <f t="shared" si="79"/>
        <v>1.0903898856840032E-2</v>
      </c>
      <c r="P128" s="43">
        <f t="shared" si="80"/>
        <v>13.330725269134678</v>
      </c>
      <c r="Q128" s="43">
        <v>113.36</v>
      </c>
      <c r="R128" s="43">
        <f t="shared" si="81"/>
        <v>5.2514978332954803</v>
      </c>
      <c r="S128" s="43">
        <f t="shared" si="82"/>
        <v>640.95204324324322</v>
      </c>
      <c r="T128" s="43">
        <f t="shared" si="83"/>
        <v>1281.9040864864864</v>
      </c>
      <c r="U128" s="43">
        <f t="shared" si="84"/>
        <v>3.2371315315315309E-3</v>
      </c>
      <c r="V128" s="43">
        <f t="shared" si="85"/>
        <v>2.034768391248391E-4</v>
      </c>
      <c r="W128" s="43">
        <f t="shared" si="86"/>
        <v>2.3122368082368078E-3</v>
      </c>
      <c r="X128" s="43">
        <f t="shared" si="87"/>
        <v>2.3122368082368081E-12</v>
      </c>
      <c r="Y128" s="205">
        <f t="shared" si="88"/>
        <v>1355.8873809222196</v>
      </c>
    </row>
    <row r="129" spans="1:27">
      <c r="A129" s="45" t="s">
        <v>805</v>
      </c>
      <c r="D129">
        <v>9878</v>
      </c>
      <c r="E129">
        <v>1.2</v>
      </c>
      <c r="H129" s="1">
        <f t="shared" si="75"/>
        <v>0</v>
      </c>
      <c r="I129" s="43">
        <f t="shared" si="45"/>
        <v>6.4097580745637057E-3</v>
      </c>
      <c r="J129" s="1">
        <f t="shared" si="46"/>
        <v>0</v>
      </c>
      <c r="K129" s="1">
        <f t="shared" si="47"/>
        <v>0</v>
      </c>
      <c r="L129" s="43">
        <f t="shared" si="76"/>
        <v>2.3627870888030884E-2</v>
      </c>
      <c r="M129" s="43">
        <f t="shared" si="77"/>
        <v>1.1518587057915057E-2</v>
      </c>
      <c r="N129" s="43">
        <f t="shared" si="78"/>
        <v>1.5751913925353924E-4</v>
      </c>
      <c r="O129" s="43">
        <f t="shared" si="79"/>
        <v>1.0903898856840032E-2</v>
      </c>
      <c r="P129" s="43">
        <f t="shared" si="80"/>
        <v>12.899775098796272</v>
      </c>
      <c r="Q129" s="43">
        <v>114.36</v>
      </c>
      <c r="R129" s="43">
        <f t="shared" si="81"/>
        <v>5.0817295843742905</v>
      </c>
      <c r="S129" s="43">
        <f t="shared" si="82"/>
        <v>620.23161081081082</v>
      </c>
      <c r="T129" s="43">
        <f t="shared" si="83"/>
        <v>1240.4632216216216</v>
      </c>
      <c r="U129" s="43">
        <f t="shared" si="84"/>
        <v>3.1324828828828825E-3</v>
      </c>
      <c r="V129" s="43">
        <f t="shared" si="85"/>
        <v>1.9689892406692406E-4</v>
      </c>
      <c r="W129" s="43">
        <f t="shared" si="86"/>
        <v>2.2374877734877732E-3</v>
      </c>
      <c r="X129" s="43">
        <f t="shared" si="87"/>
        <v>2.2374877734877732E-12</v>
      </c>
      <c r="Y129" s="205">
        <f t="shared" si="88"/>
        <v>1312.2414784847904</v>
      </c>
    </row>
    <row r="130" spans="1:27">
      <c r="A130" s="45" t="s">
        <v>806</v>
      </c>
      <c r="D130">
        <v>10592</v>
      </c>
      <c r="E130">
        <v>1.2</v>
      </c>
      <c r="H130" s="1">
        <f t="shared" si="75"/>
        <v>0</v>
      </c>
      <c r="I130" s="43">
        <f t="shared" si="45"/>
        <v>6.8730671720772197E-3</v>
      </c>
      <c r="J130" s="1">
        <f t="shared" si="46"/>
        <v>0</v>
      </c>
      <c r="K130" s="1">
        <f t="shared" si="47"/>
        <v>0</v>
      </c>
      <c r="L130" s="43">
        <f t="shared" si="76"/>
        <v>2.533573683397683E-2</v>
      </c>
      <c r="M130" s="43">
        <f t="shared" si="77"/>
        <v>1.2351171706563704E-2</v>
      </c>
      <c r="N130" s="43">
        <f t="shared" si="78"/>
        <v>1.689049122265122E-4</v>
      </c>
      <c r="O130" s="43">
        <f t="shared" si="79"/>
        <v>1.0903898856840032E-2</v>
      </c>
      <c r="P130" s="43">
        <f t="shared" si="80"/>
        <v>13.832194558255733</v>
      </c>
      <c r="Q130" s="43">
        <v>115.36</v>
      </c>
      <c r="R130" s="43">
        <f t="shared" si="81"/>
        <v>5.449046341131047</v>
      </c>
      <c r="S130" s="43">
        <f t="shared" si="82"/>
        <v>665.06309189189187</v>
      </c>
      <c r="T130" s="43">
        <f t="shared" si="83"/>
        <v>1330.1261837837837</v>
      </c>
      <c r="U130" s="43">
        <f t="shared" si="84"/>
        <v>3.3589045045045039E-3</v>
      </c>
      <c r="V130" s="43">
        <f t="shared" si="85"/>
        <v>2.1113114028314026E-4</v>
      </c>
      <c r="W130" s="43">
        <f t="shared" si="86"/>
        <v>2.3992175032175028E-3</v>
      </c>
      <c r="X130" s="43">
        <f t="shared" si="87"/>
        <v>2.3992175032175029E-12</v>
      </c>
      <c r="Y130" s="205">
        <f t="shared" si="88"/>
        <v>1406.8018855766818</v>
      </c>
    </row>
    <row r="131" spans="1:27">
      <c r="A131" s="45" t="s">
        <v>807</v>
      </c>
      <c r="D131">
        <v>10213</v>
      </c>
      <c r="E131">
        <v>1.2</v>
      </c>
      <c r="H131" s="1">
        <f t="shared" si="75"/>
        <v>0</v>
      </c>
      <c r="I131" s="43">
        <f t="shared" si="45"/>
        <v>6.6271369928648646E-3</v>
      </c>
      <c r="J131" s="1">
        <f t="shared" si="46"/>
        <v>0</v>
      </c>
      <c r="K131" s="1">
        <f t="shared" si="47"/>
        <v>0</v>
      </c>
      <c r="L131" s="43">
        <f t="shared" si="76"/>
        <v>2.4429180540540538E-2</v>
      </c>
      <c r="M131" s="43">
        <f t="shared" si="77"/>
        <v>1.1909225513513512E-2</v>
      </c>
      <c r="N131" s="43">
        <f t="shared" si="78"/>
        <v>1.6286120360360358E-4</v>
      </c>
      <c r="O131" s="43">
        <f t="shared" si="79"/>
        <v>1.0903898856840032E-2</v>
      </c>
      <c r="P131" s="43">
        <f t="shared" si="80"/>
        <v>13.337254817170109</v>
      </c>
      <c r="Q131" s="43">
        <v>116.36</v>
      </c>
      <c r="R131" s="43">
        <f t="shared" si="81"/>
        <v>5.2540700794912558</v>
      </c>
      <c r="S131" s="43">
        <f t="shared" si="82"/>
        <v>641.26598918918921</v>
      </c>
      <c r="T131" s="43">
        <f t="shared" si="83"/>
        <v>1282.5319783783784</v>
      </c>
      <c r="U131" s="43">
        <f t="shared" si="84"/>
        <v>3.2387171171171167E-3</v>
      </c>
      <c r="V131" s="43">
        <f t="shared" si="85"/>
        <v>2.0357650450450449E-4</v>
      </c>
      <c r="W131" s="43">
        <f t="shared" si="86"/>
        <v>2.3133693693693689E-3</v>
      </c>
      <c r="X131" s="43">
        <f t="shared" si="87"/>
        <v>2.313369369369369E-12</v>
      </c>
      <c r="Y131" s="205">
        <f t="shared" si="88"/>
        <v>1356.6692885349073</v>
      </c>
    </row>
    <row r="132" spans="1:27">
      <c r="A132" s="45" t="s">
        <v>808</v>
      </c>
      <c r="D132">
        <v>2</v>
      </c>
      <c r="E132">
        <v>1.2</v>
      </c>
      <c r="H132" s="1">
        <f t="shared" si="75"/>
        <v>0</v>
      </c>
      <c r="I132" s="43">
        <f t="shared" ref="I132:I195" si="89">charco2yoll*D132</f>
        <v>1.2977845868725867E-6</v>
      </c>
      <c r="J132" s="1">
        <f t="shared" si="46"/>
        <v>0</v>
      </c>
      <c r="K132" s="1">
        <f t="shared" si="47"/>
        <v>0</v>
      </c>
      <c r="L132" s="43">
        <f t="shared" si="76"/>
        <v>4.7839382239382231E-6</v>
      </c>
      <c r="M132" s="43">
        <f t="shared" si="77"/>
        <v>2.3321698841698838E-6</v>
      </c>
      <c r="N132" s="43">
        <f t="shared" si="78"/>
        <v>3.1892921492921491E-8</v>
      </c>
      <c r="O132" s="43">
        <f t="shared" si="79"/>
        <v>1.0903898856840032E-2</v>
      </c>
      <c r="P132" s="43">
        <f t="shared" si="80"/>
        <v>2.6118192141721549E-3</v>
      </c>
      <c r="Q132" s="43">
        <v>117.36</v>
      </c>
      <c r="R132" s="43">
        <f t="shared" si="81"/>
        <v>1.0288984783102431E-3</v>
      </c>
      <c r="S132" s="43">
        <f t="shared" si="82"/>
        <v>0.12557837837837837</v>
      </c>
      <c r="T132" s="43">
        <f t="shared" si="83"/>
        <v>0.25115675675675675</v>
      </c>
      <c r="U132" s="43">
        <f t="shared" si="84"/>
        <v>6.3423423423423414E-7</v>
      </c>
      <c r="V132" s="43">
        <f t="shared" si="85"/>
        <v>3.9866151866151864E-8</v>
      </c>
      <c r="W132" s="43">
        <f t="shared" si="86"/>
        <v>4.5302445302445296E-7</v>
      </c>
      <c r="X132" s="43">
        <f t="shared" si="87"/>
        <v>4.5302445302445297E-16</v>
      </c>
      <c r="Y132" s="205">
        <f t="shared" si="88"/>
        <v>4.9615619028238322</v>
      </c>
    </row>
    <row r="133" spans="1:27">
      <c r="A133" s="45" t="s">
        <v>809</v>
      </c>
      <c r="D133">
        <v>9484</v>
      </c>
      <c r="E133">
        <v>1.2</v>
      </c>
      <c r="H133" s="1">
        <f t="shared" si="75"/>
        <v>0</v>
      </c>
      <c r="I133" s="43">
        <f t="shared" si="89"/>
        <v>6.1540945109498065E-3</v>
      </c>
      <c r="J133" s="1">
        <f t="shared" ref="J133:J196" si="90">F133*0.00000133</f>
        <v>0</v>
      </c>
      <c r="K133" s="1">
        <f t="shared" ref="K133:K196" si="91">F133*0.000266</f>
        <v>0</v>
      </c>
      <c r="L133" s="43">
        <f t="shared" si="76"/>
        <v>2.2685435057915055E-2</v>
      </c>
      <c r="M133" s="43">
        <f t="shared" si="77"/>
        <v>1.105914959073359E-2</v>
      </c>
      <c r="N133" s="43">
        <f t="shared" si="78"/>
        <v>1.5123623371943371E-4</v>
      </c>
      <c r="O133" s="43">
        <f t="shared" si="79"/>
        <v>1.0903898856840032E-2</v>
      </c>
      <c r="P133" s="43">
        <f t="shared" si="80"/>
        <v>12.385246713604358</v>
      </c>
      <c r="Q133" s="43">
        <v>118.36</v>
      </c>
      <c r="R133" s="43">
        <f t="shared" si="81"/>
        <v>4.8790365841471726</v>
      </c>
      <c r="S133" s="43">
        <f t="shared" si="82"/>
        <v>595.49267027027031</v>
      </c>
      <c r="T133" s="43">
        <f t="shared" si="83"/>
        <v>1190.9853405405406</v>
      </c>
      <c r="U133" s="43">
        <f t="shared" si="84"/>
        <v>3.0075387387387383E-3</v>
      </c>
      <c r="V133" s="43">
        <f t="shared" si="85"/>
        <v>1.8904529214929213E-4</v>
      </c>
      <c r="W133" s="43">
        <f t="shared" si="86"/>
        <v>2.1482419562419558E-3</v>
      </c>
      <c r="X133" s="43">
        <f t="shared" si="87"/>
        <v>2.1482419562419559E-12</v>
      </c>
      <c r="Y133" s="205">
        <f t="shared" si="88"/>
        <v>1260.2431586049511</v>
      </c>
    </row>
    <row r="134" spans="1:27">
      <c r="A134" s="48" t="s">
        <v>810</v>
      </c>
      <c r="D134">
        <v>8780</v>
      </c>
      <c r="E134">
        <v>1.2</v>
      </c>
      <c r="H134" s="1">
        <f t="shared" si="75"/>
        <v>0</v>
      </c>
      <c r="I134" s="43">
        <f t="shared" si="89"/>
        <v>5.6972743363706557E-3</v>
      </c>
      <c r="J134" s="1">
        <f t="shared" si="90"/>
        <v>0</v>
      </c>
      <c r="K134" s="1">
        <f t="shared" si="91"/>
        <v>0</v>
      </c>
      <c r="L134" s="43">
        <f t="shared" si="76"/>
        <v>2.1001488803088799E-2</v>
      </c>
      <c r="M134" s="43">
        <f t="shared" si="77"/>
        <v>1.023822579150579E-2</v>
      </c>
      <c r="N134" s="43">
        <f t="shared" si="78"/>
        <v>1.4000992535392534E-4</v>
      </c>
      <c r="O134" s="43">
        <f t="shared" si="79"/>
        <v>1.0903898856840032E-2</v>
      </c>
      <c r="P134" s="43">
        <f t="shared" si="80"/>
        <v>11.46588635021576</v>
      </c>
      <c r="Q134" s="43">
        <v>119.36</v>
      </c>
      <c r="R134" s="43">
        <f t="shared" si="81"/>
        <v>4.5168643197819671</v>
      </c>
      <c r="S134" s="43">
        <f t="shared" si="82"/>
        <v>551.28908108108112</v>
      </c>
      <c r="T134" s="43">
        <f t="shared" si="83"/>
        <v>1102.5781621621622</v>
      </c>
      <c r="U134" s="43">
        <f t="shared" si="84"/>
        <v>2.784288288288288E-3</v>
      </c>
      <c r="V134" s="43">
        <f t="shared" si="85"/>
        <v>1.7501240669240669E-4</v>
      </c>
      <c r="W134" s="43">
        <f t="shared" si="86"/>
        <v>1.9887773487773483E-3</v>
      </c>
      <c r="X134" s="43">
        <f t="shared" si="87"/>
        <v>1.9887773487773487E-12</v>
      </c>
      <c r="Y134" s="205">
        <f t="shared" si="88"/>
        <v>1167.0865667384357</v>
      </c>
    </row>
    <row r="135" spans="1:27">
      <c r="A135" s="45" t="s">
        <v>811</v>
      </c>
      <c r="D135">
        <v>8681</v>
      </c>
      <c r="E135">
        <v>1.2</v>
      </c>
      <c r="H135" s="1">
        <f t="shared" si="75"/>
        <v>0</v>
      </c>
      <c r="I135" s="43">
        <f t="shared" si="89"/>
        <v>5.6330339993204631E-3</v>
      </c>
      <c r="J135" s="1">
        <f t="shared" si="90"/>
        <v>0</v>
      </c>
      <c r="K135" s="1">
        <f t="shared" si="91"/>
        <v>0</v>
      </c>
      <c r="L135" s="43">
        <f t="shared" si="76"/>
        <v>2.0764683861003858E-2</v>
      </c>
      <c r="M135" s="43">
        <f t="shared" si="77"/>
        <v>1.0122783382239381E-2</v>
      </c>
      <c r="N135" s="43">
        <f t="shared" si="78"/>
        <v>1.3843122574002574E-4</v>
      </c>
      <c r="O135" s="43">
        <f t="shared" si="79"/>
        <v>1.0903898856840032E-2</v>
      </c>
      <c r="P135" s="43">
        <f t="shared" si="80"/>
        <v>11.336601299114239</v>
      </c>
      <c r="Q135" s="43">
        <v>120.36</v>
      </c>
      <c r="R135" s="43">
        <f t="shared" si="81"/>
        <v>4.4659338451056101</v>
      </c>
      <c r="S135" s="43">
        <f t="shared" si="82"/>
        <v>545.07295135135132</v>
      </c>
      <c r="T135" s="43">
        <f t="shared" si="83"/>
        <v>1090.1459027027026</v>
      </c>
      <c r="U135" s="43">
        <f t="shared" si="84"/>
        <v>2.7528936936936934E-3</v>
      </c>
      <c r="V135" s="43">
        <f t="shared" si="85"/>
        <v>1.7303903217503216E-4</v>
      </c>
      <c r="W135" s="43">
        <f t="shared" si="86"/>
        <v>1.9663526383526379E-3</v>
      </c>
      <c r="X135" s="43">
        <f t="shared" si="87"/>
        <v>1.9663526383526381E-12</v>
      </c>
      <c r="Y135" s="205">
        <f t="shared" si="88"/>
        <v>1154.0207960072069</v>
      </c>
    </row>
    <row r="136" spans="1:27">
      <c r="A136" s="45" t="s">
        <v>812</v>
      </c>
      <c r="D136">
        <v>8456</v>
      </c>
      <c r="E136">
        <v>1.2</v>
      </c>
      <c r="H136" s="1">
        <f t="shared" si="75"/>
        <v>0</v>
      </c>
      <c r="I136" s="43">
        <f t="shared" si="89"/>
        <v>5.4870332332972969E-3</v>
      </c>
      <c r="J136" s="1">
        <f t="shared" si="90"/>
        <v>0</v>
      </c>
      <c r="K136" s="1">
        <f t="shared" si="91"/>
        <v>0</v>
      </c>
      <c r="L136" s="43">
        <f t="shared" si="76"/>
        <v>2.0226490810810807E-2</v>
      </c>
      <c r="M136" s="43">
        <f t="shared" si="77"/>
        <v>9.8604142702702693E-3</v>
      </c>
      <c r="N136" s="43">
        <f t="shared" si="78"/>
        <v>1.3484327207207206E-4</v>
      </c>
      <c r="O136" s="43">
        <f t="shared" si="79"/>
        <v>1.0903898856840032E-2</v>
      </c>
      <c r="P136" s="43">
        <f t="shared" si="80"/>
        <v>11.042771637519872</v>
      </c>
      <c r="Q136" s="43">
        <v>121.36</v>
      </c>
      <c r="R136" s="43">
        <f t="shared" si="81"/>
        <v>4.350182766295708</v>
      </c>
      <c r="S136" s="43">
        <f t="shared" si="82"/>
        <v>530.94538378378377</v>
      </c>
      <c r="T136" s="43">
        <f t="shared" si="83"/>
        <v>1061.8907675675675</v>
      </c>
      <c r="U136" s="43">
        <f t="shared" si="84"/>
        <v>2.6815423423423418E-3</v>
      </c>
      <c r="V136" s="43">
        <f t="shared" si="85"/>
        <v>1.6855409009009008E-4</v>
      </c>
      <c r="W136" s="43">
        <f t="shared" si="86"/>
        <v>1.9153873873873871E-3</v>
      </c>
      <c r="X136" s="43">
        <f t="shared" si="87"/>
        <v>1.9153873873873872E-12</v>
      </c>
      <c r="Y136" s="205">
        <f t="shared" si="88"/>
        <v>1124.2749534362326</v>
      </c>
    </row>
    <row r="137" spans="1:27">
      <c r="A137" s="45" t="s">
        <v>813</v>
      </c>
      <c r="D137">
        <v>7977</v>
      </c>
      <c r="E137">
        <v>1.2</v>
      </c>
      <c r="H137" s="1">
        <f t="shared" si="75"/>
        <v>0</v>
      </c>
      <c r="I137" s="43">
        <f t="shared" si="89"/>
        <v>5.1762138247413124E-3</v>
      </c>
      <c r="J137" s="1">
        <f t="shared" si="90"/>
        <v>0</v>
      </c>
      <c r="K137" s="1">
        <f t="shared" si="91"/>
        <v>0</v>
      </c>
      <c r="L137" s="43">
        <f t="shared" si="76"/>
        <v>1.9080737606177602E-2</v>
      </c>
      <c r="M137" s="43">
        <f t="shared" si="77"/>
        <v>9.3018595830115808E-3</v>
      </c>
      <c r="N137" s="43">
        <f t="shared" si="78"/>
        <v>1.2720491737451737E-4</v>
      </c>
      <c r="O137" s="43">
        <f t="shared" si="79"/>
        <v>1.0903898856840032E-2</v>
      </c>
      <c r="P137" s="43">
        <f t="shared" si="80"/>
        <v>10.417240935725641</v>
      </c>
      <c r="Q137" s="43">
        <v>122.36</v>
      </c>
      <c r="R137" s="43">
        <f t="shared" si="81"/>
        <v>4.1037615807404046</v>
      </c>
      <c r="S137" s="43">
        <f t="shared" si="82"/>
        <v>500.86936216216213</v>
      </c>
      <c r="T137" s="43">
        <f t="shared" si="83"/>
        <v>1001.7387243243243</v>
      </c>
      <c r="U137" s="43">
        <f t="shared" si="84"/>
        <v>2.5296432432432431E-3</v>
      </c>
      <c r="V137" s="43">
        <f t="shared" si="85"/>
        <v>1.5900614671814669E-4</v>
      </c>
      <c r="W137" s="43">
        <f t="shared" si="86"/>
        <v>1.8068880308880306E-3</v>
      </c>
      <c r="X137" s="43">
        <f t="shared" si="87"/>
        <v>1.8068880308880306E-12</v>
      </c>
      <c r="Y137" s="205">
        <f t="shared" si="88"/>
        <v>1060.9042041406917</v>
      </c>
    </row>
    <row r="138" spans="1:27">
      <c r="A138" t="s">
        <v>814</v>
      </c>
      <c r="D138">
        <v>8033</v>
      </c>
      <c r="E138">
        <v>1.2</v>
      </c>
      <c r="H138" s="1">
        <f t="shared" si="75"/>
        <v>0</v>
      </c>
      <c r="I138" s="43">
        <f t="shared" si="89"/>
        <v>5.2125517931737447E-3</v>
      </c>
      <c r="J138" s="1">
        <f t="shared" si="90"/>
        <v>0</v>
      </c>
      <c r="K138" s="1">
        <f t="shared" si="91"/>
        <v>0</v>
      </c>
      <c r="L138" s="43">
        <f t="shared" si="76"/>
        <v>1.9214687876447874E-2</v>
      </c>
      <c r="M138" s="43">
        <f t="shared" si="77"/>
        <v>9.3671603397683378E-3</v>
      </c>
      <c r="N138" s="43">
        <f t="shared" si="78"/>
        <v>1.2809791917631915E-4</v>
      </c>
      <c r="O138" s="43">
        <f t="shared" si="79"/>
        <v>1.0903898856840032E-2</v>
      </c>
      <c r="P138" s="43">
        <f t="shared" si="80"/>
        <v>10.490371873722459</v>
      </c>
      <c r="Q138" s="43">
        <v>123.36</v>
      </c>
      <c r="R138" s="43">
        <f t="shared" si="81"/>
        <v>4.1325707381330909</v>
      </c>
      <c r="S138" s="43">
        <f t="shared" si="82"/>
        <v>504.38555675675673</v>
      </c>
      <c r="T138" s="43">
        <f t="shared" si="83"/>
        <v>1008.7711135135135</v>
      </c>
      <c r="U138" s="43">
        <f t="shared" si="84"/>
        <v>2.5474018018018015E-3</v>
      </c>
      <c r="V138" s="43">
        <f t="shared" si="85"/>
        <v>1.6012239897039896E-4</v>
      </c>
      <c r="W138" s="43">
        <f t="shared" si="86"/>
        <v>1.8195727155727154E-3</v>
      </c>
      <c r="X138" s="43">
        <f t="shared" si="87"/>
        <v>1.8195727155727155E-12</v>
      </c>
      <c r="Y138" s="205">
        <f t="shared" si="88"/>
        <v>1068.3575694028009</v>
      </c>
    </row>
    <row r="139" spans="1:27">
      <c r="A139" t="s">
        <v>815</v>
      </c>
      <c r="D139">
        <v>6980</v>
      </c>
      <c r="E139">
        <v>1.2</v>
      </c>
      <c r="H139" s="1">
        <f t="shared" si="75"/>
        <v>0</v>
      </c>
      <c r="I139" s="43">
        <f t="shared" si="89"/>
        <v>4.5292682081853278E-3</v>
      </c>
      <c r="J139" s="1">
        <f t="shared" si="90"/>
        <v>0</v>
      </c>
      <c r="K139" s="1">
        <f t="shared" si="91"/>
        <v>0</v>
      </c>
      <c r="L139" s="43">
        <f t="shared" si="76"/>
        <v>1.6695944401544399E-2</v>
      </c>
      <c r="M139" s="43">
        <f t="shared" si="77"/>
        <v>8.1392728957528949E-3</v>
      </c>
      <c r="N139" s="43">
        <f t="shared" si="78"/>
        <v>1.1130629601029601E-4</v>
      </c>
      <c r="O139" s="43">
        <f t="shared" si="79"/>
        <v>1.0903898856840032E-2</v>
      </c>
      <c r="P139" s="43">
        <f t="shared" si="80"/>
        <v>9.1152490574608205</v>
      </c>
      <c r="Q139" s="43">
        <v>124.36</v>
      </c>
      <c r="R139" s="43">
        <f t="shared" si="81"/>
        <v>3.5908556893027481</v>
      </c>
      <c r="S139" s="43">
        <f t="shared" si="82"/>
        <v>438.26854054054053</v>
      </c>
      <c r="T139" s="43">
        <f t="shared" si="83"/>
        <v>876.53708108108106</v>
      </c>
      <c r="U139" s="43">
        <f t="shared" si="84"/>
        <v>2.213477477477477E-3</v>
      </c>
      <c r="V139" s="43">
        <f t="shared" si="85"/>
        <v>1.3913287001287E-4</v>
      </c>
      <c r="W139" s="43">
        <f t="shared" si="86"/>
        <v>1.5810553410553409E-3</v>
      </c>
      <c r="X139" s="43">
        <f t="shared" si="87"/>
        <v>1.5810553410553409E-12</v>
      </c>
      <c r="Y139" s="205">
        <f t="shared" si="88"/>
        <v>928.99982617064109</v>
      </c>
    </row>
    <row r="140" spans="1:27">
      <c r="A140" s="45" t="s">
        <v>816</v>
      </c>
      <c r="D140">
        <v>1</v>
      </c>
      <c r="E140">
        <v>1.2</v>
      </c>
      <c r="H140" s="1">
        <f t="shared" si="75"/>
        <v>0</v>
      </c>
      <c r="I140" s="43">
        <f t="shared" si="89"/>
        <v>6.4889229343629337E-7</v>
      </c>
      <c r="J140" s="1">
        <f t="shared" si="90"/>
        <v>0</v>
      </c>
      <c r="K140" s="1">
        <f t="shared" si="91"/>
        <v>0</v>
      </c>
      <c r="L140" s="43">
        <f t="shared" si="76"/>
        <v>2.3919691119691116E-6</v>
      </c>
      <c r="M140" s="43">
        <f t="shared" si="77"/>
        <v>1.1660849420849419E-6</v>
      </c>
      <c r="N140" s="43">
        <f t="shared" si="78"/>
        <v>1.5946460746460745E-8</v>
      </c>
      <c r="O140" s="43">
        <f t="shared" si="79"/>
        <v>1.0903898856840032E-2</v>
      </c>
      <c r="P140" s="43">
        <f t="shared" si="80"/>
        <v>1.3059096070860774E-3</v>
      </c>
      <c r="Q140" s="43">
        <v>125.36</v>
      </c>
      <c r="R140" s="43">
        <f t="shared" si="81"/>
        <v>5.1444923915512154E-4</v>
      </c>
      <c r="S140" s="43">
        <f t="shared" si="82"/>
        <v>6.2789189189189187E-2</v>
      </c>
      <c r="T140" s="43">
        <f t="shared" si="83"/>
        <v>0.12557837837837837</v>
      </c>
      <c r="U140" s="43">
        <f t="shared" si="84"/>
        <v>3.1711711711711707E-7</v>
      </c>
      <c r="V140" s="43">
        <f t="shared" si="85"/>
        <v>1.9933075933075932E-8</v>
      </c>
      <c r="W140" s="43">
        <f t="shared" si="86"/>
        <v>2.2651222651222648E-7</v>
      </c>
      <c r="X140" s="43">
        <f t="shared" si="87"/>
        <v>2.2651222651222649E-16</v>
      </c>
      <c r="Y140" s="205">
        <f t="shared" si="88"/>
        <v>5.1491803802861691</v>
      </c>
    </row>
    <row r="141" spans="1:27" s="45" customFormat="1">
      <c r="A141" s="45" t="s">
        <v>817</v>
      </c>
      <c r="D141" s="45">
        <v>1</v>
      </c>
      <c r="E141" s="45">
        <v>1.2</v>
      </c>
      <c r="H141" s="128">
        <f t="shared" si="75"/>
        <v>0</v>
      </c>
      <c r="I141" s="129">
        <f t="shared" si="89"/>
        <v>6.4889229343629337E-7</v>
      </c>
      <c r="J141" s="128">
        <f t="shared" si="90"/>
        <v>0</v>
      </c>
      <c r="K141" s="128">
        <f t="shared" si="91"/>
        <v>0</v>
      </c>
      <c r="L141" s="129">
        <f t="shared" si="76"/>
        <v>2.3919691119691116E-6</v>
      </c>
      <c r="M141" s="129">
        <f t="shared" si="77"/>
        <v>1.1660849420849419E-6</v>
      </c>
      <c r="N141" s="129">
        <f t="shared" si="78"/>
        <v>1.5946460746460745E-8</v>
      </c>
      <c r="O141" s="129">
        <f t="shared" si="79"/>
        <v>1.0903898856840032E-2</v>
      </c>
      <c r="P141" s="129">
        <f t="shared" si="80"/>
        <v>1.3059096070860774E-3</v>
      </c>
      <c r="Q141" s="129">
        <v>126.36</v>
      </c>
      <c r="R141" s="129">
        <f t="shared" si="81"/>
        <v>5.1444923915512154E-4</v>
      </c>
      <c r="S141" s="129">
        <f t="shared" si="82"/>
        <v>6.2789189189189187E-2</v>
      </c>
      <c r="T141" s="129">
        <f t="shared" si="83"/>
        <v>0.12557837837837837</v>
      </c>
      <c r="U141" s="129">
        <f t="shared" si="84"/>
        <v>3.1711711711711707E-7</v>
      </c>
      <c r="V141" s="129">
        <f t="shared" si="85"/>
        <v>1.9933075933075932E-8</v>
      </c>
      <c r="W141" s="129">
        <f t="shared" si="86"/>
        <v>2.2651222651222648E-7</v>
      </c>
      <c r="X141" s="129">
        <f t="shared" si="87"/>
        <v>2.2651222651222649E-16</v>
      </c>
      <c r="Y141" s="205">
        <f t="shared" si="88"/>
        <v>5.1891803802861691</v>
      </c>
      <c r="AA141" s="88"/>
    </row>
    <row r="142" spans="1:27">
      <c r="A142" t="s">
        <v>818</v>
      </c>
      <c r="D142">
        <v>1</v>
      </c>
      <c r="E142">
        <v>1.2</v>
      </c>
      <c r="H142" s="1">
        <f t="shared" si="75"/>
        <v>0</v>
      </c>
      <c r="I142" s="43">
        <f t="shared" si="89"/>
        <v>6.4889229343629337E-7</v>
      </c>
      <c r="J142" s="1">
        <f t="shared" si="90"/>
        <v>0</v>
      </c>
      <c r="K142" s="1">
        <f t="shared" si="91"/>
        <v>0</v>
      </c>
      <c r="L142" s="43">
        <f t="shared" si="76"/>
        <v>2.3919691119691116E-6</v>
      </c>
      <c r="M142" s="43">
        <f t="shared" si="77"/>
        <v>1.1660849420849419E-6</v>
      </c>
      <c r="N142" s="43">
        <f t="shared" si="78"/>
        <v>1.5946460746460745E-8</v>
      </c>
      <c r="O142" s="43">
        <f t="shared" si="79"/>
        <v>1.0903898856840032E-2</v>
      </c>
      <c r="P142" s="43">
        <f t="shared" si="80"/>
        <v>1.3059096070860774E-3</v>
      </c>
      <c r="Q142" s="43">
        <v>127.36</v>
      </c>
      <c r="R142" s="43">
        <f t="shared" si="81"/>
        <v>5.1444923915512154E-4</v>
      </c>
      <c r="S142" s="43">
        <f t="shared" si="82"/>
        <v>6.2789189189189187E-2</v>
      </c>
      <c r="T142" s="43">
        <f t="shared" si="83"/>
        <v>0.12557837837837837</v>
      </c>
      <c r="U142" s="43">
        <f t="shared" si="84"/>
        <v>3.1711711711711707E-7</v>
      </c>
      <c r="V142" s="43">
        <f t="shared" si="85"/>
        <v>1.9933075933075932E-8</v>
      </c>
      <c r="W142" s="43">
        <f t="shared" si="86"/>
        <v>2.2651222651222648E-7</v>
      </c>
      <c r="X142" s="43">
        <f t="shared" si="87"/>
        <v>2.2651222651222649E-16</v>
      </c>
      <c r="Y142" s="205">
        <f t="shared" si="88"/>
        <v>5.2291803802861692</v>
      </c>
    </row>
    <row r="143" spans="1:27">
      <c r="A143" t="s">
        <v>819</v>
      </c>
      <c r="D143">
        <v>1</v>
      </c>
      <c r="E143">
        <v>1.2</v>
      </c>
      <c r="H143" s="1">
        <f t="shared" si="75"/>
        <v>0</v>
      </c>
      <c r="I143" s="43">
        <f t="shared" si="89"/>
        <v>6.4889229343629337E-7</v>
      </c>
      <c r="J143" s="1">
        <f t="shared" si="90"/>
        <v>0</v>
      </c>
      <c r="K143" s="1">
        <f t="shared" si="91"/>
        <v>0</v>
      </c>
      <c r="L143" s="43">
        <f t="shared" si="76"/>
        <v>2.3919691119691116E-6</v>
      </c>
      <c r="M143" s="43">
        <f t="shared" si="77"/>
        <v>1.1660849420849419E-6</v>
      </c>
      <c r="N143" s="43">
        <f t="shared" si="78"/>
        <v>1.5946460746460745E-8</v>
      </c>
      <c r="O143" s="43">
        <f t="shared" si="79"/>
        <v>1.0903898856840032E-2</v>
      </c>
      <c r="P143" s="43">
        <f t="shared" si="80"/>
        <v>1.3059096070860774E-3</v>
      </c>
      <c r="Q143" s="43">
        <v>128.36000000000001</v>
      </c>
      <c r="R143" s="43">
        <f t="shared" si="81"/>
        <v>5.1444923915512154E-4</v>
      </c>
      <c r="S143" s="43">
        <f t="shared" si="82"/>
        <v>6.2789189189189187E-2</v>
      </c>
      <c r="T143" s="43">
        <f t="shared" si="83"/>
        <v>0.12557837837837837</v>
      </c>
      <c r="U143" s="43">
        <f t="shared" si="84"/>
        <v>3.1711711711711707E-7</v>
      </c>
      <c r="V143" s="43">
        <f t="shared" si="85"/>
        <v>1.9933075933075932E-8</v>
      </c>
      <c r="W143" s="43">
        <f t="shared" si="86"/>
        <v>2.2651222651222648E-7</v>
      </c>
      <c r="X143" s="43">
        <f t="shared" si="87"/>
        <v>2.2651222651222649E-16</v>
      </c>
      <c r="Y143" s="205">
        <f t="shared" si="88"/>
        <v>5.2691803802861692</v>
      </c>
    </row>
    <row r="144" spans="1:27">
      <c r="A144" t="s">
        <v>820</v>
      </c>
      <c r="D144">
        <v>2</v>
      </c>
      <c r="E144">
        <v>1.2</v>
      </c>
      <c r="H144" s="1">
        <f t="shared" si="75"/>
        <v>0</v>
      </c>
      <c r="I144" s="43">
        <f t="shared" si="89"/>
        <v>1.2977845868725867E-6</v>
      </c>
      <c r="J144" s="1">
        <f t="shared" si="90"/>
        <v>0</v>
      </c>
      <c r="K144" s="1">
        <f t="shared" si="91"/>
        <v>0</v>
      </c>
      <c r="L144" s="43">
        <f t="shared" si="76"/>
        <v>4.7839382239382231E-6</v>
      </c>
      <c r="M144" s="43">
        <f t="shared" si="77"/>
        <v>2.3321698841698838E-6</v>
      </c>
      <c r="N144" s="43">
        <f t="shared" si="78"/>
        <v>3.1892921492921491E-8</v>
      </c>
      <c r="O144" s="43">
        <f t="shared" si="79"/>
        <v>1.0903898856840032E-2</v>
      </c>
      <c r="P144" s="43">
        <f t="shared" si="80"/>
        <v>2.6118192141721549E-3</v>
      </c>
      <c r="Q144" s="43">
        <v>129.36000000000001</v>
      </c>
      <c r="R144" s="43">
        <f t="shared" si="81"/>
        <v>1.0288984783102431E-3</v>
      </c>
      <c r="S144" s="43">
        <f t="shared" si="82"/>
        <v>0.12557837837837837</v>
      </c>
      <c r="T144" s="43">
        <f t="shared" si="83"/>
        <v>0.25115675675675675</v>
      </c>
      <c r="U144" s="43">
        <f t="shared" si="84"/>
        <v>6.3423423423423414E-7</v>
      </c>
      <c r="V144" s="43">
        <f t="shared" si="85"/>
        <v>3.9866151866151864E-8</v>
      </c>
      <c r="W144" s="43">
        <f t="shared" si="86"/>
        <v>4.5302445302445296E-7</v>
      </c>
      <c r="X144" s="43">
        <f t="shared" si="87"/>
        <v>4.5302445302445297E-16</v>
      </c>
      <c r="Y144" s="205">
        <f t="shared" si="88"/>
        <v>5.4415619028238327</v>
      </c>
    </row>
    <row r="145" spans="1:27">
      <c r="A145" t="s">
        <v>821</v>
      </c>
      <c r="D145">
        <v>13951</v>
      </c>
      <c r="E145">
        <v>1.2</v>
      </c>
      <c r="H145" s="1">
        <f t="shared" si="75"/>
        <v>0</v>
      </c>
      <c r="I145" s="43">
        <f t="shared" si="89"/>
        <v>9.0526963857297284E-3</v>
      </c>
      <c r="J145" s="1">
        <f t="shared" si="90"/>
        <v>0</v>
      </c>
      <c r="K145" s="1">
        <f t="shared" si="91"/>
        <v>0</v>
      </c>
      <c r="L145" s="43">
        <f t="shared" si="76"/>
        <v>3.3370361081081074E-2</v>
      </c>
      <c r="M145" s="43">
        <f t="shared" si="77"/>
        <v>1.6268051027027025E-2</v>
      </c>
      <c r="N145" s="43">
        <f t="shared" si="78"/>
        <v>2.2246907387387386E-4</v>
      </c>
      <c r="O145" s="43">
        <f t="shared" si="79"/>
        <v>1.0903898856840032E-2</v>
      </c>
      <c r="P145" s="43">
        <f t="shared" si="80"/>
        <v>18.218744928457866</v>
      </c>
      <c r="Q145" s="43">
        <v>130.36000000000001</v>
      </c>
      <c r="R145" s="43">
        <f t="shared" si="81"/>
        <v>7.1770813354531002</v>
      </c>
      <c r="S145" s="43">
        <f t="shared" si="82"/>
        <v>875.97197837837837</v>
      </c>
      <c r="T145" s="43">
        <f t="shared" si="83"/>
        <v>1751.9439567567567</v>
      </c>
      <c r="U145" s="43">
        <f t="shared" si="84"/>
        <v>4.4241009009009001E-3</v>
      </c>
      <c r="V145" s="43">
        <f t="shared" si="85"/>
        <v>2.7808634234234233E-4</v>
      </c>
      <c r="W145" s="43">
        <f t="shared" si="86"/>
        <v>3.1600720720720717E-3</v>
      </c>
      <c r="X145" s="43">
        <f t="shared" si="87"/>
        <v>3.1600720720720717E-12</v>
      </c>
      <c r="Y145" s="205">
        <f t="shared" si="88"/>
        <v>1852.0714197806949</v>
      </c>
    </row>
    <row r="146" spans="1:27">
      <c r="A146" t="s">
        <v>822</v>
      </c>
      <c r="D146">
        <v>6512</v>
      </c>
      <c r="E146">
        <v>1.2</v>
      </c>
      <c r="H146" s="1">
        <f t="shared" si="75"/>
        <v>0</v>
      </c>
      <c r="I146" s="43">
        <f t="shared" si="89"/>
        <v>4.2255866148571426E-3</v>
      </c>
      <c r="J146" s="1">
        <f t="shared" si="90"/>
        <v>0</v>
      </c>
      <c r="K146" s="1">
        <f t="shared" si="91"/>
        <v>0</v>
      </c>
      <c r="L146" s="43">
        <f t="shared" si="76"/>
        <v>1.5576502857142854E-2</v>
      </c>
      <c r="M146" s="43">
        <f t="shared" si="77"/>
        <v>7.5935451428571412E-3</v>
      </c>
      <c r="N146" s="43">
        <f t="shared" si="78"/>
        <v>1.0384335238095237E-4</v>
      </c>
      <c r="O146" s="43">
        <f t="shared" si="79"/>
        <v>1.0903898856840032E-2</v>
      </c>
      <c r="P146" s="43">
        <f t="shared" si="80"/>
        <v>8.5040833613445361</v>
      </c>
      <c r="Q146" s="43">
        <v>131.36000000000001</v>
      </c>
      <c r="R146" s="43">
        <f t="shared" si="81"/>
        <v>3.3500934453781515</v>
      </c>
      <c r="S146" s="43">
        <f t="shared" si="82"/>
        <v>408.88319999999999</v>
      </c>
      <c r="T146" s="43">
        <f t="shared" si="83"/>
        <v>817.76639999999998</v>
      </c>
      <c r="U146" s="43">
        <f t="shared" si="84"/>
        <v>2.0650666666666663E-3</v>
      </c>
      <c r="V146" s="43">
        <f t="shared" si="85"/>
        <v>1.2980419047619048E-4</v>
      </c>
      <c r="W146" s="43">
        <f t="shared" si="86"/>
        <v>1.4750476190476189E-3</v>
      </c>
      <c r="X146" s="43">
        <f t="shared" si="87"/>
        <v>1.4750476190476189E-12</v>
      </c>
      <c r="Y146" s="205">
        <f t="shared" si="88"/>
        <v>867.32527362301448</v>
      </c>
    </row>
    <row r="147" spans="1:27">
      <c r="A147" t="s">
        <v>823</v>
      </c>
      <c r="D147">
        <v>632</v>
      </c>
      <c r="E147">
        <v>1.2</v>
      </c>
      <c r="H147" s="1">
        <f t="shared" si="75"/>
        <v>0</v>
      </c>
      <c r="I147" s="43">
        <f t="shared" si="89"/>
        <v>4.100999294517374E-4</v>
      </c>
      <c r="J147" s="1">
        <f t="shared" si="90"/>
        <v>0</v>
      </c>
      <c r="K147" s="1">
        <f t="shared" si="91"/>
        <v>0</v>
      </c>
      <c r="L147" s="43">
        <f t="shared" si="76"/>
        <v>1.5117244787644785E-3</v>
      </c>
      <c r="M147" s="43">
        <f t="shared" si="77"/>
        <v>7.3696568339768329E-4</v>
      </c>
      <c r="N147" s="43">
        <f t="shared" si="78"/>
        <v>1.0078163191763191E-5</v>
      </c>
      <c r="O147" s="43">
        <f t="shared" si="79"/>
        <v>1.0903898856840032E-2</v>
      </c>
      <c r="P147" s="43">
        <f t="shared" si="80"/>
        <v>0.82533487167840092</v>
      </c>
      <c r="Q147" s="43">
        <v>132.36000000000001</v>
      </c>
      <c r="R147" s="43">
        <f t="shared" si="81"/>
        <v>0.32513191914603679</v>
      </c>
      <c r="S147" s="43">
        <f t="shared" si="82"/>
        <v>39.682767567567566</v>
      </c>
      <c r="T147" s="43">
        <f t="shared" si="83"/>
        <v>79.365535135135133</v>
      </c>
      <c r="U147" s="43">
        <f t="shared" si="84"/>
        <v>2.0041801801801799E-4</v>
      </c>
      <c r="V147" s="43">
        <f t="shared" si="85"/>
        <v>1.2597703989703988E-5</v>
      </c>
      <c r="W147" s="43">
        <f t="shared" si="86"/>
        <v>1.4315572715572713E-4</v>
      </c>
      <c r="X147" s="43">
        <f t="shared" si="87"/>
        <v>1.4315572715572714E-13</v>
      </c>
      <c r="Y147" s="205">
        <f t="shared" si="88"/>
        <v>88.961921101551965</v>
      </c>
    </row>
    <row r="148" spans="1:27">
      <c r="A148" t="s">
        <v>824</v>
      </c>
      <c r="D148">
        <v>7377</v>
      </c>
      <c r="E148">
        <v>1.2</v>
      </c>
      <c r="H148" s="1">
        <f t="shared" si="75"/>
        <v>0</v>
      </c>
      <c r="I148" s="43">
        <f t="shared" si="89"/>
        <v>4.7868784486795359E-3</v>
      </c>
      <c r="J148" s="1">
        <f t="shared" si="90"/>
        <v>0</v>
      </c>
      <c r="K148" s="1">
        <f t="shared" si="91"/>
        <v>0</v>
      </c>
      <c r="L148" s="43">
        <f t="shared" si="76"/>
        <v>1.7645556138996137E-2</v>
      </c>
      <c r="M148" s="43">
        <f t="shared" si="77"/>
        <v>8.602208617760617E-3</v>
      </c>
      <c r="N148" s="43">
        <f t="shared" si="78"/>
        <v>1.1763704092664091E-4</v>
      </c>
      <c r="O148" s="43">
        <f t="shared" si="79"/>
        <v>1.0903898856840032E-2</v>
      </c>
      <c r="P148" s="43">
        <f t="shared" si="80"/>
        <v>9.6336951714739936</v>
      </c>
      <c r="Q148" s="43">
        <v>133.36000000000001</v>
      </c>
      <c r="R148" s="43">
        <f t="shared" si="81"/>
        <v>3.7950920372473314</v>
      </c>
      <c r="S148" s="43">
        <f t="shared" si="82"/>
        <v>463.19584864864862</v>
      </c>
      <c r="T148" s="43">
        <f t="shared" si="83"/>
        <v>926.39169729729724</v>
      </c>
      <c r="U148" s="43">
        <f t="shared" si="84"/>
        <v>2.3393729729729727E-3</v>
      </c>
      <c r="V148" s="43">
        <f t="shared" si="85"/>
        <v>1.4704630115830114E-4</v>
      </c>
      <c r="W148" s="43">
        <f t="shared" si="86"/>
        <v>1.6709806949806948E-3</v>
      </c>
      <c r="X148" s="43">
        <f t="shared" si="87"/>
        <v>1.6709806949806947E-12</v>
      </c>
      <c r="Y148" s="205">
        <f t="shared" si="88"/>
        <v>981.91529061809354</v>
      </c>
    </row>
    <row r="149" spans="1:27">
      <c r="A149" t="s">
        <v>825</v>
      </c>
      <c r="D149">
        <v>705</v>
      </c>
      <c r="E149">
        <v>1.2</v>
      </c>
      <c r="H149" s="1">
        <f t="shared" si="75"/>
        <v>0</v>
      </c>
      <c r="I149" s="43">
        <f t="shared" si="89"/>
        <v>4.5746906687258685E-4</v>
      </c>
      <c r="J149" s="1">
        <f t="shared" si="90"/>
        <v>0</v>
      </c>
      <c r="K149" s="1">
        <f t="shared" si="91"/>
        <v>0</v>
      </c>
      <c r="L149" s="43">
        <f t="shared" si="76"/>
        <v>1.6863382239382238E-3</v>
      </c>
      <c r="M149" s="43">
        <f t="shared" si="77"/>
        <v>8.2208988416988403E-4</v>
      </c>
      <c r="N149" s="43">
        <f t="shared" si="78"/>
        <v>1.1242254826254826E-5</v>
      </c>
      <c r="O149" s="43">
        <f t="shared" si="79"/>
        <v>1.0903898856840032E-2</v>
      </c>
      <c r="P149" s="43">
        <f t="shared" si="80"/>
        <v>0.9206662729956846</v>
      </c>
      <c r="Q149" s="43">
        <v>134.36000000000001</v>
      </c>
      <c r="R149" s="43">
        <f t="shared" si="81"/>
        <v>0.36268671360436067</v>
      </c>
      <c r="S149" s="43">
        <f t="shared" si="82"/>
        <v>44.266378378378377</v>
      </c>
      <c r="T149" s="43">
        <f t="shared" si="83"/>
        <v>88.532756756756754</v>
      </c>
      <c r="U149" s="43">
        <f t="shared" si="84"/>
        <v>2.2356756756756753E-4</v>
      </c>
      <c r="V149" s="43">
        <f t="shared" si="85"/>
        <v>1.4052818532818531E-5</v>
      </c>
      <c r="W149" s="43">
        <f t="shared" si="86"/>
        <v>1.5969111969111967E-4</v>
      </c>
      <c r="X149" s="43">
        <f t="shared" si="87"/>
        <v>1.5969111969111968E-13</v>
      </c>
      <c r="Y149" s="205">
        <f t="shared" si="88"/>
        <v>98.705772246801388</v>
      </c>
    </row>
    <row r="150" spans="1:27">
      <c r="A150" t="s">
        <v>826</v>
      </c>
      <c r="D150">
        <v>595</v>
      </c>
      <c r="E150">
        <v>1.2</v>
      </c>
      <c r="H150" s="1">
        <f t="shared" si="75"/>
        <v>0</v>
      </c>
      <c r="I150" s="43">
        <f t="shared" si="89"/>
        <v>3.8609091459459457E-4</v>
      </c>
      <c r="J150" s="1">
        <f t="shared" si="90"/>
        <v>0</v>
      </c>
      <c r="K150" s="1">
        <f t="shared" si="91"/>
        <v>0</v>
      </c>
      <c r="L150" s="43">
        <f t="shared" si="76"/>
        <v>1.4232216216216215E-3</v>
      </c>
      <c r="M150" s="43">
        <f t="shared" si="77"/>
        <v>6.9382054054054044E-4</v>
      </c>
      <c r="N150" s="43">
        <f t="shared" si="78"/>
        <v>9.4881441441441437E-6</v>
      </c>
      <c r="O150" s="43">
        <f t="shared" si="79"/>
        <v>1.0903898856840032E-2</v>
      </c>
      <c r="P150" s="43">
        <f t="shared" si="80"/>
        <v>0.77701621621621608</v>
      </c>
      <c r="Q150" s="43">
        <v>135.36000000000001</v>
      </c>
      <c r="R150" s="43">
        <f t="shared" si="81"/>
        <v>0.30609729729729729</v>
      </c>
      <c r="S150" s="43">
        <f t="shared" si="82"/>
        <v>37.359567567567566</v>
      </c>
      <c r="T150" s="43">
        <f t="shared" si="83"/>
        <v>74.719135135135133</v>
      </c>
      <c r="U150" s="43">
        <f t="shared" si="84"/>
        <v>1.8868468468468465E-4</v>
      </c>
      <c r="V150" s="43">
        <f t="shared" si="85"/>
        <v>1.186018018018018E-5</v>
      </c>
      <c r="W150" s="43">
        <f t="shared" si="86"/>
        <v>1.3477477477477477E-4</v>
      </c>
      <c r="X150" s="43">
        <f t="shared" si="87"/>
        <v>1.3477477477477475E-13</v>
      </c>
      <c r="Y150" s="205">
        <f t="shared" si="88"/>
        <v>84.183804767658415</v>
      </c>
    </row>
    <row r="151" spans="1:27">
      <c r="A151" t="s">
        <v>827</v>
      </c>
      <c r="D151">
        <v>4990</v>
      </c>
      <c r="E151">
        <v>1.2</v>
      </c>
      <c r="H151" s="1">
        <f t="shared" si="75"/>
        <v>0</v>
      </c>
      <c r="I151" s="43">
        <f t="shared" si="89"/>
        <v>3.237972544247104E-3</v>
      </c>
      <c r="J151" s="1">
        <f t="shared" si="90"/>
        <v>0</v>
      </c>
      <c r="K151" s="1">
        <f t="shared" si="91"/>
        <v>0</v>
      </c>
      <c r="L151" s="43">
        <f t="shared" si="76"/>
        <v>1.1935925868725867E-2</v>
      </c>
      <c r="M151" s="43">
        <f t="shared" si="77"/>
        <v>5.8187638610038605E-3</v>
      </c>
      <c r="N151" s="43">
        <f t="shared" si="78"/>
        <v>7.9572839124839116E-5</v>
      </c>
      <c r="O151" s="43">
        <f t="shared" si="79"/>
        <v>1.0903898856840032E-2</v>
      </c>
      <c r="P151" s="43">
        <f t="shared" si="80"/>
        <v>6.516488939359526</v>
      </c>
      <c r="Q151" s="43">
        <v>136.36000000000001</v>
      </c>
      <c r="R151" s="43">
        <f t="shared" si="81"/>
        <v>2.5671017033840564</v>
      </c>
      <c r="S151" s="43">
        <f t="shared" si="82"/>
        <v>313.31805405405407</v>
      </c>
      <c r="T151" s="43">
        <f t="shared" si="83"/>
        <v>626.63610810810815</v>
      </c>
      <c r="U151" s="43">
        <f t="shared" si="84"/>
        <v>1.5824144144144141E-3</v>
      </c>
      <c r="V151" s="43">
        <f t="shared" si="85"/>
        <v>9.9466048906048901E-5</v>
      </c>
      <c r="W151" s="43">
        <f t="shared" si="86"/>
        <v>1.1302960102960102E-3</v>
      </c>
      <c r="X151" s="43">
        <f t="shared" si="87"/>
        <v>1.1302960102960102E-12</v>
      </c>
      <c r="Y151" s="205">
        <f t="shared" si="88"/>
        <v>666.04059632069027</v>
      </c>
    </row>
    <row r="152" spans="1:27">
      <c r="A152" t="s">
        <v>828</v>
      </c>
      <c r="D152">
        <v>2143</v>
      </c>
      <c r="E152">
        <v>1.2</v>
      </c>
      <c r="H152" s="1">
        <f t="shared" si="75"/>
        <v>0</v>
      </c>
      <c r="I152" s="43">
        <f t="shared" si="89"/>
        <v>1.3905761848339766E-3</v>
      </c>
      <c r="J152" s="1">
        <f t="shared" si="90"/>
        <v>0</v>
      </c>
      <c r="K152" s="1">
        <f t="shared" si="91"/>
        <v>0</v>
      </c>
      <c r="L152" s="43">
        <f t="shared" si="76"/>
        <v>5.1259898069498065E-3</v>
      </c>
      <c r="M152" s="43">
        <f t="shared" si="77"/>
        <v>2.4989200308880304E-3</v>
      </c>
      <c r="N152" s="43">
        <f t="shared" si="78"/>
        <v>3.4173265379665379E-5</v>
      </c>
      <c r="O152" s="43">
        <f t="shared" si="79"/>
        <v>1.0903898856840032E-2</v>
      </c>
      <c r="P152" s="43">
        <f t="shared" si="80"/>
        <v>2.7985642879854637</v>
      </c>
      <c r="Q152" s="43">
        <v>137.36000000000001</v>
      </c>
      <c r="R152" s="43">
        <f t="shared" si="81"/>
        <v>1.1024647195094255</v>
      </c>
      <c r="S152" s="43">
        <f t="shared" si="82"/>
        <v>134.55723243243244</v>
      </c>
      <c r="T152" s="43">
        <f t="shared" si="83"/>
        <v>269.11446486486489</v>
      </c>
      <c r="U152" s="43">
        <f t="shared" si="84"/>
        <v>6.7958198198198191E-4</v>
      </c>
      <c r="V152" s="43">
        <f t="shared" si="85"/>
        <v>4.2716581724581722E-5</v>
      </c>
      <c r="W152" s="43">
        <f t="shared" si="86"/>
        <v>4.8541570141570135E-4</v>
      </c>
      <c r="X152" s="43">
        <f t="shared" si="87"/>
        <v>4.8541570141570135E-13</v>
      </c>
      <c r="Y152" s="205">
        <f t="shared" si="88"/>
        <v>289.19040165596181</v>
      </c>
    </row>
    <row r="153" spans="1:27">
      <c r="A153" t="s">
        <v>829</v>
      </c>
      <c r="D153">
        <v>1177</v>
      </c>
      <c r="E153">
        <v>1.2</v>
      </c>
      <c r="H153" s="1">
        <f t="shared" si="75"/>
        <v>0</v>
      </c>
      <c r="I153" s="43">
        <f t="shared" si="89"/>
        <v>7.6374622937451725E-4</v>
      </c>
      <c r="J153" s="1">
        <f t="shared" si="90"/>
        <v>0</v>
      </c>
      <c r="K153" s="1">
        <f t="shared" si="91"/>
        <v>0</v>
      </c>
      <c r="L153" s="43">
        <f t="shared" si="76"/>
        <v>2.8153476447876444E-3</v>
      </c>
      <c r="M153" s="43">
        <f t="shared" si="77"/>
        <v>1.3724819768339766E-3</v>
      </c>
      <c r="N153" s="43">
        <f t="shared" si="78"/>
        <v>1.8768984298584297E-5</v>
      </c>
      <c r="O153" s="43">
        <f t="shared" si="79"/>
        <v>1.0903898856840032E-2</v>
      </c>
      <c r="P153" s="43">
        <f t="shared" si="80"/>
        <v>1.5370556075403132</v>
      </c>
      <c r="Q153" s="43">
        <v>138.36000000000001</v>
      </c>
      <c r="R153" s="43">
        <f t="shared" si="81"/>
        <v>0.605506754485578</v>
      </c>
      <c r="S153" s="43">
        <f t="shared" si="82"/>
        <v>73.902875675675674</v>
      </c>
      <c r="T153" s="43">
        <f t="shared" si="83"/>
        <v>147.80575135135135</v>
      </c>
      <c r="U153" s="43">
        <f t="shared" si="84"/>
        <v>3.7324684684684681E-4</v>
      </c>
      <c r="V153" s="43">
        <f t="shared" si="85"/>
        <v>2.3461230373230371E-5</v>
      </c>
      <c r="W153" s="43">
        <f t="shared" si="86"/>
        <v>2.6660489060489055E-4</v>
      </c>
      <c r="X153" s="43">
        <f t="shared" si="87"/>
        <v>2.6660489060489058E-13</v>
      </c>
      <c r="Y153" s="205">
        <f t="shared" si="88"/>
        <v>161.34985088457864</v>
      </c>
    </row>
    <row r="154" spans="1:27">
      <c r="A154" t="s">
        <v>830</v>
      </c>
      <c r="D154">
        <v>790</v>
      </c>
      <c r="E154">
        <v>1.2</v>
      </c>
      <c r="H154" s="1">
        <f t="shared" si="75"/>
        <v>0</v>
      </c>
      <c r="I154" s="43">
        <f t="shared" si="89"/>
        <v>5.1262491181467177E-4</v>
      </c>
      <c r="J154" s="1">
        <f t="shared" si="90"/>
        <v>0</v>
      </c>
      <c r="K154" s="1">
        <f t="shared" si="91"/>
        <v>0</v>
      </c>
      <c r="L154" s="43">
        <f t="shared" ref="L154:L185" si="92">CO2_malnutrition_charfact*D154</f>
        <v>1.8896555984555981E-3</v>
      </c>
      <c r="M154" s="43">
        <f t="shared" ref="M154:M185" si="93">CO2_workingcapacity_charfact*D154</f>
        <v>9.2120710424710406E-4</v>
      </c>
      <c r="N154" s="43">
        <f t="shared" ref="N154:N185" si="94">CO2_diarrhea_charfact*D154</f>
        <v>1.2597703989703988E-5</v>
      </c>
      <c r="O154" s="43">
        <f t="shared" ref="O154:O185" si="95">CO2_crop_charfact</f>
        <v>1.0903898856840032E-2</v>
      </c>
      <c r="P154" s="43">
        <f t="shared" ref="P154:P185" si="96">CO2_fruitandveg_charfact*D154</f>
        <v>1.0316685895980011</v>
      </c>
      <c r="Q154" s="43">
        <v>139.36000000000001</v>
      </c>
      <c r="R154" s="43">
        <f t="shared" ref="R154:R185" si="97">CO2_meatandfish_charfact*D154</f>
        <v>0.40641489893254601</v>
      </c>
      <c r="S154" s="43">
        <f t="shared" ref="S154:S185" si="98">CO2_drinkingwater_charfact*D154</f>
        <v>49.603459459459458</v>
      </c>
      <c r="T154" s="43">
        <f t="shared" ref="T154:T185" si="99">CO2_irrigationwater_charfact*D154</f>
        <v>99.206918918918916</v>
      </c>
      <c r="U154" s="43">
        <f t="shared" ref="U154:U185" si="100">CO2_energyaccess_charfact*D154</f>
        <v>2.5052252252252247E-4</v>
      </c>
      <c r="V154" s="43">
        <f t="shared" ref="V154:V185" si="101">CO2_housing_charfact*D154</f>
        <v>1.5747129987129987E-5</v>
      </c>
      <c r="W154" s="43">
        <f t="shared" ref="W154:W185" si="102">CO2_separations_charfact*D154</f>
        <v>1.7894465894465893E-4</v>
      </c>
      <c r="X154" s="43">
        <f t="shared" ref="X154:X185" si="103">CO2_NEX_charfact*D154</f>
        <v>1.7894465894465891E-13</v>
      </c>
      <c r="Y154" s="205">
        <f t="shared" ref="Y154:Y185" si="104">(H154+I154)*YOLLvalue+J154*skincancervalue+K154*Lowvisionvalue+L154*malnutrition+M154*working_capacity+N154*diarrhea+O154*cropvalue+P154*Fruitandveg_value+Q154*woodvalue+R154*fishandmeatvalue+S154*drinkingwatervalue+T154*irrigationwatervalue+U154*energy_access+V154*housingvalue+W154*migrationvalue+X154*speciesvalue</f>
        <v>110.15820166250283</v>
      </c>
    </row>
    <row r="155" spans="1:27">
      <c r="A155" t="s">
        <v>831</v>
      </c>
      <c r="D155">
        <v>997</v>
      </c>
      <c r="E155">
        <v>1.2</v>
      </c>
      <c r="H155" s="1">
        <f t="shared" si="75"/>
        <v>0</v>
      </c>
      <c r="I155" s="43">
        <f t="shared" si="89"/>
        <v>6.4694561655598444E-4</v>
      </c>
      <c r="J155" s="1">
        <f t="shared" si="90"/>
        <v>0</v>
      </c>
      <c r="K155" s="1">
        <f t="shared" si="91"/>
        <v>0</v>
      </c>
      <c r="L155" s="43">
        <f t="shared" si="92"/>
        <v>2.3847932046332041E-3</v>
      </c>
      <c r="M155" s="43">
        <f t="shared" si="93"/>
        <v>1.162586687258687E-3</v>
      </c>
      <c r="N155" s="43">
        <f t="shared" si="94"/>
        <v>1.5898621364221363E-5</v>
      </c>
      <c r="O155" s="43">
        <f t="shared" si="95"/>
        <v>1.0903898856840032E-2</v>
      </c>
      <c r="P155" s="43">
        <f t="shared" si="96"/>
        <v>1.3019918782648192</v>
      </c>
      <c r="Q155" s="43">
        <v>140.36000000000001</v>
      </c>
      <c r="R155" s="43">
        <f t="shared" si="97"/>
        <v>0.51290589143765619</v>
      </c>
      <c r="S155" s="43">
        <f t="shared" si="98"/>
        <v>62.60082162162162</v>
      </c>
      <c r="T155" s="43">
        <f t="shared" si="99"/>
        <v>125.20164324324324</v>
      </c>
      <c r="U155" s="43">
        <f t="shared" si="100"/>
        <v>3.1616576576576572E-4</v>
      </c>
      <c r="V155" s="43">
        <f t="shared" si="101"/>
        <v>1.9873276705276704E-5</v>
      </c>
      <c r="W155" s="43">
        <f t="shared" si="102"/>
        <v>2.2583268983268981E-4</v>
      </c>
      <c r="X155" s="43">
        <f t="shared" si="103"/>
        <v>2.2583268983268981E-13</v>
      </c>
      <c r="Y155" s="205">
        <f t="shared" si="104"/>
        <v>137.60117682779918</v>
      </c>
    </row>
    <row r="156" spans="1:27">
      <c r="A156" t="s">
        <v>832</v>
      </c>
      <c r="D156">
        <v>981</v>
      </c>
      <c r="E156">
        <v>1.2</v>
      </c>
      <c r="H156" s="1">
        <f t="shared" si="75"/>
        <v>0</v>
      </c>
      <c r="I156" s="43">
        <f t="shared" si="89"/>
        <v>6.3656333986100385E-4</v>
      </c>
      <c r="J156" s="1">
        <f t="shared" si="90"/>
        <v>0</v>
      </c>
      <c r="K156" s="1">
        <f t="shared" si="91"/>
        <v>0</v>
      </c>
      <c r="L156" s="43">
        <f t="shared" si="92"/>
        <v>2.3465216988416983E-3</v>
      </c>
      <c r="M156" s="43">
        <f t="shared" si="93"/>
        <v>1.143929328185328E-3</v>
      </c>
      <c r="N156" s="43">
        <f t="shared" si="94"/>
        <v>1.564347799227799E-5</v>
      </c>
      <c r="O156" s="43">
        <f t="shared" si="95"/>
        <v>1.0903898856840032E-2</v>
      </c>
      <c r="P156" s="43">
        <f t="shared" si="96"/>
        <v>1.2810973245514419</v>
      </c>
      <c r="Q156" s="43">
        <v>141.36000000000001</v>
      </c>
      <c r="R156" s="43">
        <f t="shared" si="97"/>
        <v>0.50467470361117428</v>
      </c>
      <c r="S156" s="43">
        <f t="shared" si="98"/>
        <v>61.596194594594593</v>
      </c>
      <c r="T156" s="43">
        <f t="shared" si="99"/>
        <v>123.19238918918919</v>
      </c>
      <c r="U156" s="43">
        <f t="shared" si="100"/>
        <v>3.1109189189189182E-4</v>
      </c>
      <c r="V156" s="43">
        <f t="shared" si="101"/>
        <v>1.955434749034749E-5</v>
      </c>
      <c r="W156" s="43">
        <f t="shared" si="102"/>
        <v>2.2220849420849417E-4</v>
      </c>
      <c r="X156" s="43">
        <f t="shared" si="103"/>
        <v>2.2220849420849417E-13</v>
      </c>
      <c r="Y156" s="205">
        <f t="shared" si="104"/>
        <v>135.52307246719658</v>
      </c>
    </row>
    <row r="157" spans="1:27" s="45" customFormat="1">
      <c r="A157" s="45" t="s">
        <v>833</v>
      </c>
      <c r="D157" s="45">
        <v>23</v>
      </c>
      <c r="E157" s="45">
        <v>1.2</v>
      </c>
      <c r="H157" s="128">
        <f t="shared" si="75"/>
        <v>0</v>
      </c>
      <c r="I157" s="129">
        <f t="shared" si="89"/>
        <v>1.4924522749034748E-5</v>
      </c>
      <c r="J157" s="128">
        <f t="shared" si="90"/>
        <v>0</v>
      </c>
      <c r="K157" s="128">
        <f t="shared" si="91"/>
        <v>0</v>
      </c>
      <c r="L157" s="129">
        <f t="shared" si="92"/>
        <v>5.5015289575289563E-5</v>
      </c>
      <c r="M157" s="129">
        <f t="shared" si="93"/>
        <v>2.6819953667953664E-5</v>
      </c>
      <c r="N157" s="129">
        <f t="shared" si="94"/>
        <v>3.6676859716859713E-7</v>
      </c>
      <c r="O157" s="129">
        <f t="shared" si="95"/>
        <v>1.0903898856840032E-2</v>
      </c>
      <c r="P157" s="129">
        <f t="shared" si="96"/>
        <v>3.003592096297978E-2</v>
      </c>
      <c r="Q157" s="129">
        <v>142.36000000000001</v>
      </c>
      <c r="R157" s="129">
        <f t="shared" si="97"/>
        <v>1.1832332500567795E-2</v>
      </c>
      <c r="S157" s="129">
        <f t="shared" si="98"/>
        <v>1.4441513513513513</v>
      </c>
      <c r="T157" s="129">
        <f t="shared" si="99"/>
        <v>2.8883027027027026</v>
      </c>
      <c r="U157" s="129">
        <f t="shared" si="100"/>
        <v>7.2936936936936929E-6</v>
      </c>
      <c r="V157" s="129">
        <f t="shared" si="101"/>
        <v>4.5846074646074643E-7</v>
      </c>
      <c r="W157" s="129">
        <f t="shared" si="102"/>
        <v>5.2097812097812087E-6</v>
      </c>
      <c r="X157" s="129">
        <f t="shared" si="103"/>
        <v>5.2097812097812092E-15</v>
      </c>
      <c r="Y157" s="205">
        <f t="shared" si="104"/>
        <v>8.741573876114769</v>
      </c>
      <c r="Z157" s="48"/>
      <c r="AA157" s="88"/>
    </row>
    <row r="158" spans="1:27">
      <c r="A158" t="s">
        <v>834</v>
      </c>
      <c r="D158">
        <v>365</v>
      </c>
      <c r="E158">
        <v>1.2</v>
      </c>
      <c r="H158" s="1">
        <f t="shared" si="75"/>
        <v>0</v>
      </c>
      <c r="I158" s="43">
        <f t="shared" si="89"/>
        <v>2.3684568710424707E-4</v>
      </c>
      <c r="J158" s="1">
        <f t="shared" si="90"/>
        <v>0</v>
      </c>
      <c r="K158" s="1">
        <f t="shared" si="91"/>
        <v>0</v>
      </c>
      <c r="L158" s="43">
        <f t="shared" si="92"/>
        <v>8.7306872586872576E-4</v>
      </c>
      <c r="M158" s="43">
        <f t="shared" si="93"/>
        <v>4.256210038610038E-4</v>
      </c>
      <c r="N158" s="43">
        <f t="shared" si="94"/>
        <v>5.8204581724581719E-6</v>
      </c>
      <c r="O158" s="43">
        <f t="shared" si="95"/>
        <v>1.0903898856840032E-2</v>
      </c>
      <c r="P158" s="43">
        <f t="shared" si="96"/>
        <v>0.47665700658641824</v>
      </c>
      <c r="Q158" s="43">
        <v>143.36000000000001</v>
      </c>
      <c r="R158" s="43">
        <f t="shared" si="97"/>
        <v>0.18777397229161935</v>
      </c>
      <c r="S158" s="43">
        <f t="shared" si="98"/>
        <v>22.918054054054053</v>
      </c>
      <c r="T158" s="43">
        <f t="shared" si="99"/>
        <v>45.836108108108107</v>
      </c>
      <c r="U158" s="43">
        <f t="shared" si="100"/>
        <v>1.1574774774774773E-4</v>
      </c>
      <c r="V158" s="43">
        <f t="shared" si="101"/>
        <v>7.2755727155727151E-6</v>
      </c>
      <c r="W158" s="43">
        <f t="shared" si="102"/>
        <v>8.2676962676962661E-5</v>
      </c>
      <c r="X158" s="43">
        <f t="shared" si="103"/>
        <v>8.2676962676962663E-14</v>
      </c>
      <c r="Y158" s="205">
        <f t="shared" si="104"/>
        <v>54.056054583995738</v>
      </c>
    </row>
    <row r="159" spans="1:27">
      <c r="A159" t="s">
        <v>835</v>
      </c>
      <c r="D159">
        <v>2</v>
      </c>
      <c r="E159">
        <v>1.2</v>
      </c>
      <c r="H159" s="1">
        <f t="shared" si="75"/>
        <v>0</v>
      </c>
      <c r="I159" s="43">
        <f t="shared" si="89"/>
        <v>1.2977845868725867E-6</v>
      </c>
      <c r="J159" s="1">
        <f t="shared" si="90"/>
        <v>0</v>
      </c>
      <c r="K159" s="1">
        <f t="shared" si="91"/>
        <v>0</v>
      </c>
      <c r="L159" s="43">
        <f t="shared" si="92"/>
        <v>4.7839382239382231E-6</v>
      </c>
      <c r="M159" s="43">
        <f t="shared" si="93"/>
        <v>2.3321698841698838E-6</v>
      </c>
      <c r="N159" s="43">
        <f t="shared" si="94"/>
        <v>3.1892921492921491E-8</v>
      </c>
      <c r="O159" s="43">
        <f t="shared" si="95"/>
        <v>1.0903898856840032E-2</v>
      </c>
      <c r="P159" s="43">
        <f t="shared" si="96"/>
        <v>2.6118192141721549E-3</v>
      </c>
      <c r="Q159" s="43">
        <v>144.36000000000001</v>
      </c>
      <c r="R159" s="43">
        <f t="shared" si="97"/>
        <v>1.0288984783102431E-3</v>
      </c>
      <c r="S159" s="43">
        <f t="shared" si="98"/>
        <v>0.12557837837837837</v>
      </c>
      <c r="T159" s="43">
        <f t="shared" si="99"/>
        <v>0.25115675675675675</v>
      </c>
      <c r="U159" s="43">
        <f t="shared" si="100"/>
        <v>6.3423423423423414E-7</v>
      </c>
      <c r="V159" s="43">
        <f t="shared" si="101"/>
        <v>3.9866151866151864E-8</v>
      </c>
      <c r="W159" s="43">
        <f t="shared" si="102"/>
        <v>4.5302445302445296E-7</v>
      </c>
      <c r="X159" s="43">
        <f t="shared" si="103"/>
        <v>4.5302445302445297E-16</v>
      </c>
      <c r="Y159" s="205">
        <f t="shared" si="104"/>
        <v>6.0415619028238332</v>
      </c>
    </row>
    <row r="160" spans="1:27">
      <c r="A160" t="s">
        <v>836</v>
      </c>
      <c r="D160">
        <v>36</v>
      </c>
      <c r="E160">
        <v>1.2</v>
      </c>
      <c r="H160" s="1">
        <f t="shared" si="75"/>
        <v>0</v>
      </c>
      <c r="I160" s="43">
        <f t="shared" si="89"/>
        <v>2.3360122563706563E-5</v>
      </c>
      <c r="J160" s="1">
        <f t="shared" si="90"/>
        <v>0</v>
      </c>
      <c r="K160" s="1">
        <f t="shared" si="91"/>
        <v>0</v>
      </c>
      <c r="L160" s="43">
        <f t="shared" si="92"/>
        <v>8.6110888030888015E-5</v>
      </c>
      <c r="M160" s="43">
        <f t="shared" si="93"/>
        <v>4.1979057915057907E-5</v>
      </c>
      <c r="N160" s="43">
        <f t="shared" si="94"/>
        <v>5.7407258687258689E-7</v>
      </c>
      <c r="O160" s="43">
        <f t="shared" si="95"/>
        <v>1.0903898856840032E-2</v>
      </c>
      <c r="P160" s="43">
        <f t="shared" si="96"/>
        <v>4.7012745855098785E-2</v>
      </c>
      <c r="Q160" s="43">
        <v>145.36000000000001</v>
      </c>
      <c r="R160" s="43">
        <f t="shared" si="97"/>
        <v>1.8520172609584374E-2</v>
      </c>
      <c r="S160" s="43">
        <f t="shared" si="98"/>
        <v>2.2604108108108107</v>
      </c>
      <c r="T160" s="43">
        <f t="shared" si="99"/>
        <v>4.5208216216216215</v>
      </c>
      <c r="U160" s="43">
        <f t="shared" si="100"/>
        <v>1.1416216216216215E-5</v>
      </c>
      <c r="V160" s="43">
        <f t="shared" si="101"/>
        <v>7.1759073359073356E-7</v>
      </c>
      <c r="W160" s="43">
        <f t="shared" si="102"/>
        <v>8.154440154440153E-6</v>
      </c>
      <c r="X160" s="43">
        <f t="shared" si="103"/>
        <v>8.1544401544401533E-15</v>
      </c>
      <c r="Y160" s="205">
        <f t="shared" si="104"/>
        <v>10.582533669104398</v>
      </c>
    </row>
    <row r="161" spans="1:25">
      <c r="A161" t="s">
        <v>837</v>
      </c>
      <c r="D161">
        <v>1</v>
      </c>
      <c r="E161">
        <v>1.2</v>
      </c>
      <c r="H161" s="1">
        <f t="shared" si="75"/>
        <v>0</v>
      </c>
      <c r="I161" s="43">
        <f t="shared" si="89"/>
        <v>6.4889229343629337E-7</v>
      </c>
      <c r="J161" s="1">
        <f t="shared" si="90"/>
        <v>0</v>
      </c>
      <c r="K161" s="1">
        <f t="shared" si="91"/>
        <v>0</v>
      </c>
      <c r="L161" s="43">
        <f t="shared" si="92"/>
        <v>2.3919691119691116E-6</v>
      </c>
      <c r="M161" s="43">
        <f t="shared" si="93"/>
        <v>1.1660849420849419E-6</v>
      </c>
      <c r="N161" s="43">
        <f t="shared" si="94"/>
        <v>1.5946460746460745E-8</v>
      </c>
      <c r="O161" s="43">
        <f t="shared" si="95"/>
        <v>1.0903898856840032E-2</v>
      </c>
      <c r="P161" s="43">
        <f t="shared" si="96"/>
        <v>1.3059096070860774E-3</v>
      </c>
      <c r="Q161" s="43">
        <v>146.36000000000001</v>
      </c>
      <c r="R161" s="43">
        <f t="shared" si="97"/>
        <v>5.1444923915512154E-4</v>
      </c>
      <c r="S161" s="43">
        <f t="shared" si="98"/>
        <v>6.2789189189189187E-2</v>
      </c>
      <c r="T161" s="43">
        <f t="shared" si="99"/>
        <v>0.12557837837837837</v>
      </c>
      <c r="U161" s="43">
        <f t="shared" si="100"/>
        <v>3.1711711711711707E-7</v>
      </c>
      <c r="V161" s="43">
        <f t="shared" si="101"/>
        <v>1.9933075933075932E-8</v>
      </c>
      <c r="W161" s="43">
        <f t="shared" si="102"/>
        <v>2.2651222651222648E-7</v>
      </c>
      <c r="X161" s="43">
        <f t="shared" si="103"/>
        <v>2.2651222651222649E-16</v>
      </c>
      <c r="Y161" s="205">
        <f t="shared" si="104"/>
        <v>5.9891803802861698</v>
      </c>
    </row>
    <row r="162" spans="1:25">
      <c r="A162" t="s">
        <v>838</v>
      </c>
      <c r="D162">
        <v>3598</v>
      </c>
      <c r="E162">
        <v>1.2</v>
      </c>
      <c r="H162" s="1">
        <f t="shared" si="75"/>
        <v>0</v>
      </c>
      <c r="I162" s="43">
        <f t="shared" si="89"/>
        <v>2.3347144717837834E-3</v>
      </c>
      <c r="J162" s="1">
        <f t="shared" si="90"/>
        <v>0</v>
      </c>
      <c r="K162" s="1">
        <f t="shared" si="91"/>
        <v>0</v>
      </c>
      <c r="L162" s="43">
        <f t="shared" si="92"/>
        <v>8.6063048648648641E-3</v>
      </c>
      <c r="M162" s="43">
        <f t="shared" si="93"/>
        <v>4.1955736216216207E-3</v>
      </c>
      <c r="N162" s="43">
        <f t="shared" si="94"/>
        <v>5.7375365765765764E-5</v>
      </c>
      <c r="O162" s="43">
        <f t="shared" si="95"/>
        <v>1.0903898856840032E-2</v>
      </c>
      <c r="P162" s="43">
        <f t="shared" si="96"/>
        <v>4.6986627662957066</v>
      </c>
      <c r="Q162" s="43">
        <v>147.36000000000001</v>
      </c>
      <c r="R162" s="43">
        <f t="shared" si="97"/>
        <v>1.8509883624801273</v>
      </c>
      <c r="S162" s="43">
        <f t="shared" si="98"/>
        <v>225.9155027027027</v>
      </c>
      <c r="T162" s="43">
        <f t="shared" si="99"/>
        <v>451.83100540540539</v>
      </c>
      <c r="U162" s="43">
        <f t="shared" si="100"/>
        <v>1.1409873873873871E-3</v>
      </c>
      <c r="V162" s="43">
        <f t="shared" si="101"/>
        <v>7.1719207207207198E-5</v>
      </c>
      <c r="W162" s="43">
        <f t="shared" si="102"/>
        <v>8.149909909909909E-4</v>
      </c>
      <c r="X162" s="43">
        <f t="shared" si="103"/>
        <v>8.1499099099099088E-13</v>
      </c>
      <c r="Y162" s="205">
        <f t="shared" si="104"/>
        <v>482.20551694826241</v>
      </c>
    </row>
    <row r="163" spans="1:25">
      <c r="A163" t="s">
        <v>839</v>
      </c>
      <c r="D163">
        <v>3081</v>
      </c>
      <c r="E163">
        <v>1.2</v>
      </c>
      <c r="H163" s="1">
        <f t="shared" si="75"/>
        <v>0</v>
      </c>
      <c r="I163" s="43">
        <f t="shared" si="89"/>
        <v>1.9992371560772198E-3</v>
      </c>
      <c r="J163" s="1">
        <f t="shared" si="90"/>
        <v>0</v>
      </c>
      <c r="K163" s="1">
        <f t="shared" si="91"/>
        <v>0</v>
      </c>
      <c r="L163" s="43">
        <f t="shared" si="92"/>
        <v>7.3696568339768325E-3</v>
      </c>
      <c r="M163" s="43">
        <f t="shared" si="93"/>
        <v>3.5927077065637061E-3</v>
      </c>
      <c r="N163" s="43">
        <f t="shared" si="94"/>
        <v>4.9131045559845557E-5</v>
      </c>
      <c r="O163" s="43">
        <f t="shared" si="95"/>
        <v>1.0903898856840032E-2</v>
      </c>
      <c r="P163" s="43">
        <f t="shared" si="96"/>
        <v>4.0235074994322044</v>
      </c>
      <c r="Q163" s="43">
        <v>148.36000000000001</v>
      </c>
      <c r="R163" s="43">
        <f t="shared" si="97"/>
        <v>1.5850181058369295</v>
      </c>
      <c r="S163" s="43">
        <f t="shared" si="98"/>
        <v>193.45349189189187</v>
      </c>
      <c r="T163" s="43">
        <f t="shared" si="99"/>
        <v>386.90698378378374</v>
      </c>
      <c r="U163" s="43">
        <f t="shared" si="100"/>
        <v>9.7703783783783778E-4</v>
      </c>
      <c r="V163" s="43">
        <f t="shared" si="101"/>
        <v>6.1413806949806946E-5</v>
      </c>
      <c r="W163" s="43">
        <f t="shared" si="102"/>
        <v>6.9788416988416984E-4</v>
      </c>
      <c r="X163" s="43">
        <f t="shared" si="103"/>
        <v>6.9788416988416977E-13</v>
      </c>
      <c r="Y163" s="205">
        <f t="shared" si="104"/>
        <v>413.80426979629033</v>
      </c>
    </row>
    <row r="164" spans="1:25">
      <c r="A164" t="s">
        <v>840</v>
      </c>
      <c r="D164">
        <v>1118</v>
      </c>
      <c r="E164">
        <v>1.2</v>
      </c>
      <c r="H164" s="1">
        <f t="shared" si="75"/>
        <v>0</v>
      </c>
      <c r="I164" s="43">
        <f t="shared" si="89"/>
        <v>7.2546158406177599E-4</v>
      </c>
      <c r="J164" s="1">
        <f t="shared" si="90"/>
        <v>0</v>
      </c>
      <c r="K164" s="1">
        <f t="shared" si="91"/>
        <v>0</v>
      </c>
      <c r="L164" s="43">
        <f t="shared" si="92"/>
        <v>2.6742214671814668E-3</v>
      </c>
      <c r="M164" s="43">
        <f t="shared" si="93"/>
        <v>1.3036829652509651E-3</v>
      </c>
      <c r="N164" s="43">
        <f t="shared" si="94"/>
        <v>1.7828143114543114E-5</v>
      </c>
      <c r="O164" s="43">
        <f t="shared" si="95"/>
        <v>1.0903898856840032E-2</v>
      </c>
      <c r="P164" s="43">
        <f t="shared" si="96"/>
        <v>1.4600069407222345</v>
      </c>
      <c r="Q164" s="43">
        <v>149.36000000000001</v>
      </c>
      <c r="R164" s="43">
        <f t="shared" si="97"/>
        <v>0.57515424937542592</v>
      </c>
      <c r="S164" s="43">
        <f t="shared" si="98"/>
        <v>70.198313513513511</v>
      </c>
      <c r="T164" s="43">
        <f t="shared" si="99"/>
        <v>140.39662702702702</v>
      </c>
      <c r="U164" s="43">
        <f t="shared" si="100"/>
        <v>3.5453693693693686E-4</v>
      </c>
      <c r="V164" s="43">
        <f t="shared" si="101"/>
        <v>2.228517889317889E-5</v>
      </c>
      <c r="W164" s="43">
        <f t="shared" si="102"/>
        <v>2.5324066924066918E-4</v>
      </c>
      <c r="X164" s="43">
        <f t="shared" si="103"/>
        <v>2.5324066924066923E-13</v>
      </c>
      <c r="Y164" s="205">
        <f t="shared" si="104"/>
        <v>153.97934105485652</v>
      </c>
    </row>
    <row r="165" spans="1:25">
      <c r="A165" t="s">
        <v>841</v>
      </c>
      <c r="D165">
        <v>262</v>
      </c>
      <c r="E165">
        <v>1.2</v>
      </c>
      <c r="H165" s="1">
        <f t="shared" si="75"/>
        <v>0</v>
      </c>
      <c r="I165" s="43">
        <f t="shared" si="89"/>
        <v>1.7000978088030887E-4</v>
      </c>
      <c r="J165" s="1">
        <f t="shared" si="90"/>
        <v>0</v>
      </c>
      <c r="K165" s="1">
        <f t="shared" si="91"/>
        <v>0</v>
      </c>
      <c r="L165" s="43">
        <f t="shared" si="92"/>
        <v>6.2669590733590728E-4</v>
      </c>
      <c r="M165" s="43">
        <f t="shared" si="93"/>
        <v>3.0551425482625477E-4</v>
      </c>
      <c r="N165" s="43">
        <f t="shared" si="94"/>
        <v>4.1779727155727153E-6</v>
      </c>
      <c r="O165" s="43">
        <f t="shared" si="95"/>
        <v>1.0903898856840032E-2</v>
      </c>
      <c r="P165" s="43">
        <f t="shared" si="96"/>
        <v>0.3421483170565523</v>
      </c>
      <c r="Q165" s="43">
        <v>150.36000000000001</v>
      </c>
      <c r="R165" s="43">
        <f t="shared" si="97"/>
        <v>0.13478570065864184</v>
      </c>
      <c r="S165" s="43">
        <f t="shared" si="98"/>
        <v>16.450767567567567</v>
      </c>
      <c r="T165" s="43">
        <f t="shared" si="99"/>
        <v>32.901535135135134</v>
      </c>
      <c r="U165" s="43">
        <f t="shared" si="100"/>
        <v>8.3084684684684674E-5</v>
      </c>
      <c r="V165" s="43">
        <f t="shared" si="101"/>
        <v>5.2224658944658941E-6</v>
      </c>
      <c r="W165" s="43">
        <f t="shared" si="102"/>
        <v>5.9346203346203337E-5</v>
      </c>
      <c r="X165" s="43">
        <f t="shared" si="103"/>
        <v>5.9346203346203337E-14</v>
      </c>
      <c r="Y165" s="205">
        <f t="shared" si="104"/>
        <v>40.700757762616384</v>
      </c>
    </row>
    <row r="166" spans="1:25">
      <c r="A166" t="s">
        <v>842</v>
      </c>
      <c r="D166">
        <v>641</v>
      </c>
      <c r="E166">
        <v>1.2</v>
      </c>
      <c r="H166" s="1">
        <f t="shared" si="75"/>
        <v>0</v>
      </c>
      <c r="I166" s="43">
        <f t="shared" si="89"/>
        <v>4.1593996009266405E-4</v>
      </c>
      <c r="J166" s="1">
        <f t="shared" si="90"/>
        <v>0</v>
      </c>
      <c r="K166" s="1">
        <f t="shared" si="91"/>
        <v>0</v>
      </c>
      <c r="L166" s="43">
        <f t="shared" si="92"/>
        <v>1.5332522007722004E-3</v>
      </c>
      <c r="M166" s="43">
        <f t="shared" si="93"/>
        <v>7.4746044787644776E-4</v>
      </c>
      <c r="N166" s="43">
        <f t="shared" si="94"/>
        <v>1.0221681338481337E-5</v>
      </c>
      <c r="O166" s="43">
        <f t="shared" si="95"/>
        <v>1.0903898856840032E-2</v>
      </c>
      <c r="P166" s="43">
        <f t="shared" si="96"/>
        <v>0.83708805814217568</v>
      </c>
      <c r="Q166" s="43">
        <v>151.36000000000001</v>
      </c>
      <c r="R166" s="43">
        <f t="shared" si="97"/>
        <v>0.32976196229843291</v>
      </c>
      <c r="S166" s="43">
        <f t="shared" si="98"/>
        <v>40.247870270270269</v>
      </c>
      <c r="T166" s="43">
        <f t="shared" si="99"/>
        <v>80.495740540540538</v>
      </c>
      <c r="U166" s="43">
        <f t="shared" si="100"/>
        <v>2.0327207207207205E-4</v>
      </c>
      <c r="V166" s="43">
        <f t="shared" si="101"/>
        <v>1.2777101673101672E-5</v>
      </c>
      <c r="W166" s="43">
        <f t="shared" si="102"/>
        <v>1.4519433719433717E-4</v>
      </c>
      <c r="X166" s="43">
        <f t="shared" si="103"/>
        <v>1.4519433719433719E-13</v>
      </c>
      <c r="Y166" s="205">
        <f t="shared" si="104"/>
        <v>90.913354804390934</v>
      </c>
    </row>
    <row r="167" spans="1:25">
      <c r="A167" t="s">
        <v>843</v>
      </c>
      <c r="D167">
        <v>1028</v>
      </c>
      <c r="E167">
        <v>1.2</v>
      </c>
      <c r="H167" s="1">
        <f t="shared" si="75"/>
        <v>0</v>
      </c>
      <c r="I167" s="43">
        <f t="shared" si="89"/>
        <v>6.6706127765250953E-4</v>
      </c>
      <c r="J167" s="1">
        <f t="shared" si="90"/>
        <v>0</v>
      </c>
      <c r="K167" s="1">
        <f t="shared" si="91"/>
        <v>0</v>
      </c>
      <c r="L167" s="43">
        <f t="shared" si="92"/>
        <v>2.4589442471042466E-3</v>
      </c>
      <c r="M167" s="43">
        <f t="shared" si="93"/>
        <v>1.1987353204633202E-3</v>
      </c>
      <c r="N167" s="43">
        <f t="shared" si="94"/>
        <v>1.6392961647361647E-5</v>
      </c>
      <c r="O167" s="43">
        <f t="shared" si="95"/>
        <v>1.0903898856840032E-2</v>
      </c>
      <c r="P167" s="43">
        <f t="shared" si="96"/>
        <v>1.3424750760844877</v>
      </c>
      <c r="Q167" s="43">
        <v>152.36000000000001</v>
      </c>
      <c r="R167" s="43">
        <f t="shared" si="97"/>
        <v>0.5288538178514649</v>
      </c>
      <c r="S167" s="43">
        <f t="shared" si="98"/>
        <v>64.547286486486485</v>
      </c>
      <c r="T167" s="43">
        <f t="shared" si="99"/>
        <v>129.09457297297297</v>
      </c>
      <c r="U167" s="43">
        <f t="shared" si="100"/>
        <v>3.2599639639639634E-4</v>
      </c>
      <c r="V167" s="43">
        <f t="shared" si="101"/>
        <v>2.0491202059202057E-5</v>
      </c>
      <c r="W167" s="43">
        <f t="shared" si="102"/>
        <v>2.3285456885456881E-4</v>
      </c>
      <c r="X167" s="43">
        <f t="shared" si="103"/>
        <v>2.3285456885456885E-13</v>
      </c>
      <c r="Y167" s="205">
        <f t="shared" si="104"/>
        <v>142.18500402646677</v>
      </c>
    </row>
    <row r="168" spans="1:25">
      <c r="A168" t="s">
        <v>844</v>
      </c>
      <c r="D168">
        <v>1072</v>
      </c>
      <c r="E168">
        <v>1.2</v>
      </c>
      <c r="H168" s="1">
        <f t="shared" si="75"/>
        <v>0</v>
      </c>
      <c r="I168" s="43">
        <f t="shared" si="89"/>
        <v>6.9561253856370651E-4</v>
      </c>
      <c r="J168" s="1">
        <f t="shared" si="90"/>
        <v>0</v>
      </c>
      <c r="K168" s="1">
        <f t="shared" si="91"/>
        <v>0</v>
      </c>
      <c r="L168" s="43">
        <f t="shared" si="92"/>
        <v>2.5641908880308876E-3</v>
      </c>
      <c r="M168" s="43">
        <f t="shared" si="93"/>
        <v>1.2500430579150577E-3</v>
      </c>
      <c r="N168" s="43">
        <f t="shared" si="94"/>
        <v>1.7094605920205919E-5</v>
      </c>
      <c r="O168" s="43">
        <f t="shared" si="95"/>
        <v>1.0903898856840032E-2</v>
      </c>
      <c r="P168" s="43">
        <f t="shared" si="96"/>
        <v>1.3999350987962751</v>
      </c>
      <c r="Q168" s="43">
        <v>153.36000000000001</v>
      </c>
      <c r="R168" s="43">
        <f t="shared" si="97"/>
        <v>0.5514895843742903</v>
      </c>
      <c r="S168" s="43">
        <f t="shared" si="98"/>
        <v>67.310010810810809</v>
      </c>
      <c r="T168" s="43">
        <f t="shared" si="99"/>
        <v>134.62002162162162</v>
      </c>
      <c r="U168" s="43">
        <f t="shared" si="100"/>
        <v>3.3994954954954951E-4</v>
      </c>
      <c r="V168" s="43">
        <f t="shared" si="101"/>
        <v>2.1368257400257399E-5</v>
      </c>
      <c r="W168" s="43">
        <f t="shared" si="102"/>
        <v>2.4282110682110678E-4</v>
      </c>
      <c r="X168" s="43">
        <f t="shared" si="103"/>
        <v>2.4282110682110677E-13</v>
      </c>
      <c r="Y168" s="205">
        <f t="shared" si="104"/>
        <v>148.04979101812401</v>
      </c>
    </row>
    <row r="169" spans="1:25">
      <c r="A169" t="s">
        <v>845</v>
      </c>
      <c r="D169">
        <v>440</v>
      </c>
      <c r="E169">
        <v>1.2</v>
      </c>
      <c r="H169" s="1">
        <f t="shared" si="75"/>
        <v>0</v>
      </c>
      <c r="I169" s="43">
        <f t="shared" si="89"/>
        <v>2.8551260911196906E-4</v>
      </c>
      <c r="J169" s="1">
        <f t="shared" si="90"/>
        <v>0</v>
      </c>
      <c r="K169" s="1">
        <f t="shared" si="91"/>
        <v>0</v>
      </c>
      <c r="L169" s="43">
        <f t="shared" si="92"/>
        <v>1.0524664092664091E-3</v>
      </c>
      <c r="M169" s="43">
        <f t="shared" si="93"/>
        <v>5.1307737451737438E-4</v>
      </c>
      <c r="N169" s="43">
        <f t="shared" si="94"/>
        <v>7.0164427284427283E-6</v>
      </c>
      <c r="O169" s="43">
        <f t="shared" si="95"/>
        <v>1.0903898856840032E-2</v>
      </c>
      <c r="P169" s="43">
        <f t="shared" si="96"/>
        <v>0.57460022711787406</v>
      </c>
      <c r="Q169" s="43">
        <v>154.36000000000001</v>
      </c>
      <c r="R169" s="43">
        <f t="shared" si="97"/>
        <v>0.22635766522825349</v>
      </c>
      <c r="S169" s="43">
        <f t="shared" si="98"/>
        <v>27.627243243243242</v>
      </c>
      <c r="T169" s="43">
        <f t="shared" si="99"/>
        <v>55.254486486486485</v>
      </c>
      <c r="U169" s="43">
        <f t="shared" si="100"/>
        <v>1.3953153153153152E-4</v>
      </c>
      <c r="V169" s="43">
        <f t="shared" si="101"/>
        <v>8.7705534105534104E-6</v>
      </c>
      <c r="W169" s="43">
        <f t="shared" si="102"/>
        <v>9.9665379665379649E-5</v>
      </c>
      <c r="X169" s="43">
        <f t="shared" si="103"/>
        <v>9.9665379665379648E-14</v>
      </c>
      <c r="Y169" s="205">
        <f t="shared" si="104"/>
        <v>64.424668774320523</v>
      </c>
    </row>
    <row r="170" spans="1:25">
      <c r="A170" t="s">
        <v>846</v>
      </c>
      <c r="D170">
        <v>468</v>
      </c>
      <c r="E170">
        <v>1.2</v>
      </c>
      <c r="H170" s="1">
        <f t="shared" si="75"/>
        <v>0</v>
      </c>
      <c r="I170" s="43">
        <f t="shared" si="89"/>
        <v>3.0368159332818528E-4</v>
      </c>
      <c r="J170" s="1">
        <f t="shared" si="90"/>
        <v>0</v>
      </c>
      <c r="K170" s="1">
        <f t="shared" si="91"/>
        <v>0</v>
      </c>
      <c r="L170" s="43">
        <f t="shared" si="92"/>
        <v>1.1194415444015441E-3</v>
      </c>
      <c r="M170" s="43">
        <f t="shared" si="93"/>
        <v>5.4572775289575277E-4</v>
      </c>
      <c r="N170" s="43">
        <f t="shared" si="94"/>
        <v>7.4629436293436285E-6</v>
      </c>
      <c r="O170" s="43">
        <f t="shared" si="95"/>
        <v>1.0903898856840032E-2</v>
      </c>
      <c r="P170" s="43">
        <f t="shared" si="96"/>
        <v>0.61116569611628424</v>
      </c>
      <c r="Q170" s="43">
        <v>155.36000000000001</v>
      </c>
      <c r="R170" s="43">
        <f t="shared" si="97"/>
        <v>0.24076224392459689</v>
      </c>
      <c r="S170" s="43">
        <f t="shared" si="98"/>
        <v>29.38534054054054</v>
      </c>
      <c r="T170" s="43">
        <f t="shared" si="99"/>
        <v>58.770681081081079</v>
      </c>
      <c r="U170" s="43">
        <f t="shared" si="100"/>
        <v>1.484108108108108E-4</v>
      </c>
      <c r="V170" s="43">
        <f t="shared" si="101"/>
        <v>9.3286795366795369E-6</v>
      </c>
      <c r="W170" s="43">
        <f t="shared" si="102"/>
        <v>1.0600772200772199E-4</v>
      </c>
      <c r="X170" s="43">
        <f t="shared" si="103"/>
        <v>1.0600772200772199E-13</v>
      </c>
      <c r="Y170" s="205">
        <f t="shared" si="104"/>
        <v>68.171351405375134</v>
      </c>
    </row>
    <row r="171" spans="1:25">
      <c r="A171" t="s">
        <v>847</v>
      </c>
      <c r="D171">
        <v>20</v>
      </c>
      <c r="E171">
        <v>1.2</v>
      </c>
      <c r="H171" s="1">
        <f t="shared" si="75"/>
        <v>0</v>
      </c>
      <c r="I171" s="43">
        <f t="shared" si="89"/>
        <v>1.2977845868725867E-5</v>
      </c>
      <c r="J171" s="1">
        <f t="shared" si="90"/>
        <v>0</v>
      </c>
      <c r="K171" s="1">
        <f t="shared" si="91"/>
        <v>0</v>
      </c>
      <c r="L171" s="43">
        <f t="shared" si="92"/>
        <v>4.783938223938223E-5</v>
      </c>
      <c r="M171" s="43">
        <f t="shared" si="93"/>
        <v>2.3321698841698837E-5</v>
      </c>
      <c r="N171" s="43">
        <f t="shared" si="94"/>
        <v>3.1892921492921491E-7</v>
      </c>
      <c r="O171" s="43">
        <f t="shared" si="95"/>
        <v>1.0903898856840032E-2</v>
      </c>
      <c r="P171" s="43">
        <f t="shared" si="96"/>
        <v>2.611819214172155E-2</v>
      </c>
      <c r="Q171" s="43">
        <v>156.36000000000001</v>
      </c>
      <c r="R171" s="43">
        <f t="shared" si="97"/>
        <v>1.0288984783102431E-2</v>
      </c>
      <c r="S171" s="43">
        <f t="shared" si="98"/>
        <v>1.2557837837837837</v>
      </c>
      <c r="T171" s="43">
        <f t="shared" si="99"/>
        <v>2.5115675675675675</v>
      </c>
      <c r="U171" s="43">
        <f t="shared" si="100"/>
        <v>6.3423423423423418E-6</v>
      </c>
      <c r="V171" s="43">
        <f t="shared" si="101"/>
        <v>3.9866151866151865E-7</v>
      </c>
      <c r="W171" s="43">
        <f t="shared" si="102"/>
        <v>4.5302445302445297E-6</v>
      </c>
      <c r="X171" s="43">
        <f t="shared" si="103"/>
        <v>4.5302445302445295E-15</v>
      </c>
      <c r="Y171" s="205">
        <f t="shared" si="104"/>
        <v>8.9044293085017809</v>
      </c>
    </row>
    <row r="172" spans="1:25">
      <c r="A172" t="s">
        <v>848</v>
      </c>
      <c r="D172">
        <v>867</v>
      </c>
      <c r="E172">
        <v>1.2</v>
      </c>
      <c r="H172" s="1">
        <f t="shared" si="75"/>
        <v>0</v>
      </c>
      <c r="I172" s="43">
        <f t="shared" si="89"/>
        <v>5.6258961840926634E-4</v>
      </c>
      <c r="J172" s="1">
        <f t="shared" si="90"/>
        <v>0</v>
      </c>
      <c r="K172" s="1">
        <f t="shared" si="91"/>
        <v>0</v>
      </c>
      <c r="L172" s="43">
        <f t="shared" si="92"/>
        <v>2.0738372200772197E-3</v>
      </c>
      <c r="M172" s="43">
        <f t="shared" si="93"/>
        <v>1.0109956447876447E-3</v>
      </c>
      <c r="N172" s="43">
        <f t="shared" si="94"/>
        <v>1.3825581467181466E-5</v>
      </c>
      <c r="O172" s="43">
        <f t="shared" si="95"/>
        <v>1.0903898856840032E-2</v>
      </c>
      <c r="P172" s="43">
        <f t="shared" si="96"/>
        <v>1.1322236293436292</v>
      </c>
      <c r="Q172" s="43">
        <v>157.36000000000001</v>
      </c>
      <c r="R172" s="43">
        <f t="shared" si="97"/>
        <v>0.4460274903474904</v>
      </c>
      <c r="S172" s="43">
        <f t="shared" si="98"/>
        <v>54.438227027027025</v>
      </c>
      <c r="T172" s="43">
        <f t="shared" si="99"/>
        <v>108.87645405405405</v>
      </c>
      <c r="U172" s="43">
        <f t="shared" si="100"/>
        <v>2.7494054054054049E-4</v>
      </c>
      <c r="V172" s="43">
        <f t="shared" si="101"/>
        <v>1.7281976833976831E-5</v>
      </c>
      <c r="W172" s="43">
        <f t="shared" si="102"/>
        <v>1.9638610038610037E-4</v>
      </c>
      <c r="X172" s="43">
        <f t="shared" si="103"/>
        <v>1.9638610038610036E-13</v>
      </c>
      <c r="Y172" s="205">
        <f t="shared" si="104"/>
        <v>121.07157889790294</v>
      </c>
    </row>
    <row r="173" spans="1:25">
      <c r="A173" t="s">
        <v>849</v>
      </c>
      <c r="D173">
        <v>540</v>
      </c>
      <c r="E173">
        <v>1.2</v>
      </c>
      <c r="H173" s="1">
        <f t="shared" si="75"/>
        <v>0</v>
      </c>
      <c r="I173" s="43">
        <f t="shared" si="89"/>
        <v>3.5040183845559843E-4</v>
      </c>
      <c r="J173" s="1">
        <f t="shared" si="90"/>
        <v>0</v>
      </c>
      <c r="K173" s="1">
        <f t="shared" si="91"/>
        <v>0</v>
      </c>
      <c r="L173" s="43">
        <f t="shared" si="92"/>
        <v>1.2916633204633203E-3</v>
      </c>
      <c r="M173" s="43">
        <f t="shared" si="93"/>
        <v>6.2968586872586864E-4</v>
      </c>
      <c r="N173" s="43">
        <f t="shared" si="94"/>
        <v>8.6110888030888018E-6</v>
      </c>
      <c r="O173" s="43">
        <f t="shared" si="95"/>
        <v>1.0903898856840032E-2</v>
      </c>
      <c r="P173" s="43">
        <f t="shared" si="96"/>
        <v>0.70519118782648182</v>
      </c>
      <c r="Q173" s="43">
        <v>158.36000000000001</v>
      </c>
      <c r="R173" s="43">
        <f t="shared" si="97"/>
        <v>0.27780258914376565</v>
      </c>
      <c r="S173" s="43">
        <f t="shared" si="98"/>
        <v>33.906162162162161</v>
      </c>
      <c r="T173" s="43">
        <f t="shared" si="99"/>
        <v>67.812324324324322</v>
      </c>
      <c r="U173" s="43">
        <f t="shared" si="100"/>
        <v>1.7124324324324322E-4</v>
      </c>
      <c r="V173" s="43">
        <f t="shared" si="101"/>
        <v>1.0763861003861004E-5</v>
      </c>
      <c r="W173" s="43">
        <f t="shared" si="102"/>
        <v>1.223166023166023E-4</v>
      </c>
      <c r="X173" s="43">
        <f t="shared" si="103"/>
        <v>1.2231660231660229E-13</v>
      </c>
      <c r="Y173" s="205">
        <f t="shared" si="104"/>
        <v>77.822821028086878</v>
      </c>
    </row>
    <row r="174" spans="1:25">
      <c r="A174" t="s">
        <v>850</v>
      </c>
      <c r="D174">
        <v>500</v>
      </c>
      <c r="E174">
        <v>1.2</v>
      </c>
      <c r="H174" s="1">
        <f t="shared" si="75"/>
        <v>0</v>
      </c>
      <c r="I174" s="43">
        <f t="shared" si="89"/>
        <v>3.2444614671814668E-4</v>
      </c>
      <c r="J174" s="1">
        <f t="shared" si="90"/>
        <v>0</v>
      </c>
      <c r="K174" s="1">
        <f t="shared" si="91"/>
        <v>0</v>
      </c>
      <c r="L174" s="43">
        <f t="shared" si="92"/>
        <v>1.1959845559845557E-3</v>
      </c>
      <c r="M174" s="43">
        <f t="shared" si="93"/>
        <v>5.8304247104247096E-4</v>
      </c>
      <c r="N174" s="43">
        <f t="shared" si="94"/>
        <v>7.9732303732303728E-6</v>
      </c>
      <c r="O174" s="43">
        <f t="shared" si="95"/>
        <v>1.0903898856840032E-2</v>
      </c>
      <c r="P174" s="43">
        <f t="shared" si="96"/>
        <v>0.6529548035430387</v>
      </c>
      <c r="Q174" s="43">
        <v>159.36000000000001</v>
      </c>
      <c r="R174" s="43">
        <f t="shared" si="97"/>
        <v>0.25722461957756076</v>
      </c>
      <c r="S174" s="43">
        <f t="shared" si="98"/>
        <v>31.394594594594594</v>
      </c>
      <c r="T174" s="43">
        <f t="shared" si="99"/>
        <v>62.789189189189187</v>
      </c>
      <c r="U174" s="43">
        <f t="shared" si="100"/>
        <v>1.5855855855855853E-4</v>
      </c>
      <c r="V174" s="43">
        <f t="shared" si="101"/>
        <v>9.9665379665379659E-6</v>
      </c>
      <c r="W174" s="43">
        <f t="shared" si="102"/>
        <v>1.1325611325611324E-4</v>
      </c>
      <c r="X174" s="43">
        <f t="shared" si="103"/>
        <v>1.1325611325611325E-13</v>
      </c>
      <c r="Y174" s="205">
        <f t="shared" si="104"/>
        <v>72.567560126580346</v>
      </c>
    </row>
    <row r="175" spans="1:25">
      <c r="A175" t="s">
        <v>851</v>
      </c>
      <c r="D175">
        <v>17</v>
      </c>
      <c r="E175">
        <v>1.2</v>
      </c>
      <c r="H175" s="1">
        <f t="shared" si="75"/>
        <v>0</v>
      </c>
      <c r="I175" s="43">
        <f t="shared" si="89"/>
        <v>1.1031168988416988E-5</v>
      </c>
      <c r="J175" s="1">
        <f t="shared" si="90"/>
        <v>0</v>
      </c>
      <c r="K175" s="1">
        <f t="shared" si="91"/>
        <v>0</v>
      </c>
      <c r="L175" s="43">
        <f t="shared" si="92"/>
        <v>4.0663474903474896E-5</v>
      </c>
      <c r="M175" s="43">
        <f t="shared" si="93"/>
        <v>1.9823444015444014E-5</v>
      </c>
      <c r="N175" s="43">
        <f t="shared" si="94"/>
        <v>2.7108983268983269E-7</v>
      </c>
      <c r="O175" s="43">
        <f t="shared" si="95"/>
        <v>1.0903898856840032E-2</v>
      </c>
      <c r="P175" s="43">
        <f t="shared" si="96"/>
        <v>2.2200463320463316E-2</v>
      </c>
      <c r="Q175" s="43">
        <v>160.36000000000001</v>
      </c>
      <c r="R175" s="43">
        <f t="shared" si="97"/>
        <v>8.7456370656370658E-3</v>
      </c>
      <c r="S175" s="43">
        <f t="shared" si="98"/>
        <v>1.0674162162162162</v>
      </c>
      <c r="T175" s="43">
        <f t="shared" si="99"/>
        <v>2.1348324324324324</v>
      </c>
      <c r="U175" s="43">
        <f t="shared" si="100"/>
        <v>5.3909909909909899E-6</v>
      </c>
      <c r="V175" s="43">
        <f t="shared" si="101"/>
        <v>3.3886229086229082E-7</v>
      </c>
      <c r="W175" s="43">
        <f t="shared" si="102"/>
        <v>3.8507078507078499E-6</v>
      </c>
      <c r="X175" s="43">
        <f t="shared" si="103"/>
        <v>3.8507078507078506E-15</v>
      </c>
      <c r="Y175" s="205">
        <f t="shared" si="104"/>
        <v>8.667284740888789</v>
      </c>
    </row>
    <row r="176" spans="1:25">
      <c r="A176" t="s">
        <v>852</v>
      </c>
      <c r="D176">
        <v>1</v>
      </c>
      <c r="E176">
        <v>1.2</v>
      </c>
      <c r="H176" s="1">
        <f t="shared" si="75"/>
        <v>0</v>
      </c>
      <c r="I176" s="43">
        <f t="shared" si="89"/>
        <v>6.4889229343629337E-7</v>
      </c>
      <c r="J176" s="1">
        <f t="shared" si="90"/>
        <v>0</v>
      </c>
      <c r="K176" s="1">
        <f t="shared" si="91"/>
        <v>0</v>
      </c>
      <c r="L176" s="43">
        <f t="shared" si="92"/>
        <v>2.3919691119691116E-6</v>
      </c>
      <c r="M176" s="43">
        <f t="shared" si="93"/>
        <v>1.1660849420849419E-6</v>
      </c>
      <c r="N176" s="43">
        <f t="shared" si="94"/>
        <v>1.5946460746460745E-8</v>
      </c>
      <c r="O176" s="43">
        <f t="shared" si="95"/>
        <v>1.0903898856840032E-2</v>
      </c>
      <c r="P176" s="43">
        <f t="shared" si="96"/>
        <v>1.3059096070860774E-3</v>
      </c>
      <c r="Q176" s="43">
        <v>161.36000000000001</v>
      </c>
      <c r="R176" s="43">
        <f t="shared" si="97"/>
        <v>5.1444923915512154E-4</v>
      </c>
      <c r="S176" s="43">
        <f t="shared" si="98"/>
        <v>6.2789189189189187E-2</v>
      </c>
      <c r="T176" s="43">
        <f t="shared" si="99"/>
        <v>0.12557837837837837</v>
      </c>
      <c r="U176" s="43">
        <f t="shared" si="100"/>
        <v>3.1711711711711707E-7</v>
      </c>
      <c r="V176" s="43">
        <f t="shared" si="101"/>
        <v>1.9933075933075932E-8</v>
      </c>
      <c r="W176" s="43">
        <f t="shared" si="102"/>
        <v>2.2651222651222648E-7</v>
      </c>
      <c r="X176" s="43">
        <f t="shared" si="103"/>
        <v>2.2651222651222649E-16</v>
      </c>
      <c r="Y176" s="205">
        <f t="shared" si="104"/>
        <v>6.5891803802861695</v>
      </c>
    </row>
    <row r="177" spans="1:25">
      <c r="A177" t="s">
        <v>853</v>
      </c>
      <c r="D177">
        <v>71</v>
      </c>
      <c r="E177">
        <v>1.2</v>
      </c>
      <c r="H177" s="1">
        <f t="shared" si="75"/>
        <v>0</v>
      </c>
      <c r="I177" s="43">
        <f t="shared" si="89"/>
        <v>4.6071352833976832E-5</v>
      </c>
      <c r="J177" s="1">
        <f t="shared" si="90"/>
        <v>0</v>
      </c>
      <c r="K177" s="1">
        <f t="shared" si="91"/>
        <v>0</v>
      </c>
      <c r="L177" s="43">
        <f t="shared" si="92"/>
        <v>1.6982980694980692E-4</v>
      </c>
      <c r="M177" s="43">
        <f t="shared" si="93"/>
        <v>8.2792030888030878E-5</v>
      </c>
      <c r="N177" s="43">
        <f t="shared" si="94"/>
        <v>1.132198712998713E-6</v>
      </c>
      <c r="O177" s="43">
        <f t="shared" si="95"/>
        <v>1.0903898856840032E-2</v>
      </c>
      <c r="P177" s="43">
        <f t="shared" si="96"/>
        <v>9.27195821031115E-2</v>
      </c>
      <c r="Q177" s="43">
        <v>162.36000000000001</v>
      </c>
      <c r="R177" s="43">
        <f t="shared" si="97"/>
        <v>3.6525895980013628E-2</v>
      </c>
      <c r="S177" s="43">
        <f t="shared" si="98"/>
        <v>4.4580324324324323</v>
      </c>
      <c r="T177" s="43">
        <f t="shared" si="99"/>
        <v>8.9160648648648646</v>
      </c>
      <c r="U177" s="43">
        <f t="shared" si="100"/>
        <v>2.2515315315315311E-5</v>
      </c>
      <c r="V177" s="43">
        <f t="shared" si="101"/>
        <v>1.4152483912483913E-6</v>
      </c>
      <c r="W177" s="43">
        <f t="shared" si="102"/>
        <v>1.6082368082368079E-5</v>
      </c>
      <c r="X177" s="43">
        <f t="shared" si="103"/>
        <v>1.6082368082368081E-14</v>
      </c>
      <c r="Y177" s="205">
        <f t="shared" si="104"/>
        <v>15.895886957922629</v>
      </c>
    </row>
    <row r="178" spans="1:25">
      <c r="A178" t="s">
        <v>854</v>
      </c>
      <c r="D178">
        <v>758</v>
      </c>
      <c r="E178">
        <v>1.2</v>
      </c>
      <c r="H178" s="1">
        <f t="shared" si="75"/>
        <v>0</v>
      </c>
      <c r="I178" s="43">
        <f t="shared" si="89"/>
        <v>4.9186035842471037E-4</v>
      </c>
      <c r="J178" s="1">
        <f t="shared" si="90"/>
        <v>0</v>
      </c>
      <c r="K178" s="1">
        <f t="shared" si="91"/>
        <v>0</v>
      </c>
      <c r="L178" s="43">
        <f t="shared" si="92"/>
        <v>1.8131125868725865E-3</v>
      </c>
      <c r="M178" s="43">
        <f t="shared" si="93"/>
        <v>8.8389238610038598E-4</v>
      </c>
      <c r="N178" s="43">
        <f t="shared" si="94"/>
        <v>1.2087417245817246E-5</v>
      </c>
      <c r="O178" s="43">
        <f t="shared" si="95"/>
        <v>1.0903898856840032E-2</v>
      </c>
      <c r="P178" s="43">
        <f t="shared" si="96"/>
        <v>0.98987948217124666</v>
      </c>
      <c r="Q178" s="43">
        <v>163.36000000000001</v>
      </c>
      <c r="R178" s="43">
        <f t="shared" si="97"/>
        <v>0.38995252327958213</v>
      </c>
      <c r="S178" s="43">
        <f t="shared" si="98"/>
        <v>47.594205405405404</v>
      </c>
      <c r="T178" s="43">
        <f t="shared" si="99"/>
        <v>95.188410810810808</v>
      </c>
      <c r="U178" s="43">
        <f t="shared" si="100"/>
        <v>2.4037477477477473E-4</v>
      </c>
      <c r="V178" s="43">
        <f t="shared" si="101"/>
        <v>1.5109271557271557E-5</v>
      </c>
      <c r="W178" s="43">
        <f t="shared" si="102"/>
        <v>1.7169626769626768E-4</v>
      </c>
      <c r="X178" s="43">
        <f t="shared" si="103"/>
        <v>1.7169626769626768E-13</v>
      </c>
      <c r="Y178" s="205">
        <f t="shared" si="104"/>
        <v>106.8819929412976</v>
      </c>
    </row>
    <row r="179" spans="1:25">
      <c r="A179" t="s">
        <v>855</v>
      </c>
      <c r="D179">
        <v>1</v>
      </c>
      <c r="E179">
        <v>1.2</v>
      </c>
      <c r="H179" s="1">
        <f t="shared" si="75"/>
        <v>0</v>
      </c>
      <c r="I179" s="43">
        <f t="shared" si="89"/>
        <v>6.4889229343629337E-7</v>
      </c>
      <c r="J179" s="1">
        <f t="shared" si="90"/>
        <v>0</v>
      </c>
      <c r="K179" s="1">
        <f t="shared" si="91"/>
        <v>0</v>
      </c>
      <c r="L179" s="43">
        <f t="shared" si="92"/>
        <v>2.3919691119691116E-6</v>
      </c>
      <c r="M179" s="43">
        <f t="shared" si="93"/>
        <v>1.1660849420849419E-6</v>
      </c>
      <c r="N179" s="43">
        <f t="shared" si="94"/>
        <v>1.5946460746460745E-8</v>
      </c>
      <c r="O179" s="43">
        <f t="shared" si="95"/>
        <v>1.0903898856840032E-2</v>
      </c>
      <c r="P179" s="43">
        <f t="shared" si="96"/>
        <v>1.3059096070860774E-3</v>
      </c>
      <c r="Q179" s="43">
        <v>164.36</v>
      </c>
      <c r="R179" s="43">
        <f t="shared" si="97"/>
        <v>5.1444923915512154E-4</v>
      </c>
      <c r="S179" s="43">
        <f t="shared" si="98"/>
        <v>6.2789189189189187E-2</v>
      </c>
      <c r="T179" s="43">
        <f t="shared" si="99"/>
        <v>0.12557837837837837</v>
      </c>
      <c r="U179" s="43">
        <f t="shared" si="100"/>
        <v>3.1711711711711707E-7</v>
      </c>
      <c r="V179" s="43">
        <f t="shared" si="101"/>
        <v>1.9933075933075932E-8</v>
      </c>
      <c r="W179" s="43">
        <f t="shared" si="102"/>
        <v>2.2651222651222648E-7</v>
      </c>
      <c r="X179" s="43">
        <f t="shared" si="103"/>
        <v>2.2651222651222649E-16</v>
      </c>
      <c r="Y179" s="205">
        <f t="shared" si="104"/>
        <v>6.7091803802861696</v>
      </c>
    </row>
    <row r="180" spans="1:25">
      <c r="A180" t="s">
        <v>856</v>
      </c>
      <c r="D180">
        <v>16</v>
      </c>
      <c r="E180">
        <v>1.2</v>
      </c>
      <c r="H180" s="1">
        <f t="shared" si="75"/>
        <v>0</v>
      </c>
      <c r="I180" s="43">
        <f t="shared" si="89"/>
        <v>1.0382276694980694E-5</v>
      </c>
      <c r="J180" s="1">
        <f t="shared" si="90"/>
        <v>0</v>
      </c>
      <c r="K180" s="1">
        <f t="shared" si="91"/>
        <v>0</v>
      </c>
      <c r="L180" s="43">
        <f t="shared" si="92"/>
        <v>3.8271505791505785E-5</v>
      </c>
      <c r="M180" s="43">
        <f t="shared" si="93"/>
        <v>1.865735907335907E-5</v>
      </c>
      <c r="N180" s="43">
        <f t="shared" si="94"/>
        <v>2.5514337194337193E-7</v>
      </c>
      <c r="O180" s="43">
        <f t="shared" si="95"/>
        <v>1.0903898856840032E-2</v>
      </c>
      <c r="P180" s="43">
        <f t="shared" si="96"/>
        <v>2.0894553713377239E-2</v>
      </c>
      <c r="Q180" s="43">
        <v>165.36</v>
      </c>
      <c r="R180" s="43">
        <f t="shared" si="97"/>
        <v>8.2311878264819446E-3</v>
      </c>
      <c r="S180" s="43">
        <f t="shared" si="98"/>
        <v>1.004627027027027</v>
      </c>
      <c r="T180" s="43">
        <f t="shared" si="99"/>
        <v>2.009254054054054</v>
      </c>
      <c r="U180" s="43">
        <f t="shared" si="100"/>
        <v>5.0738738738738731E-6</v>
      </c>
      <c r="V180" s="43">
        <f t="shared" si="101"/>
        <v>3.1892921492921491E-7</v>
      </c>
      <c r="W180" s="43">
        <f t="shared" si="102"/>
        <v>3.6241956241956237E-6</v>
      </c>
      <c r="X180" s="43">
        <f t="shared" si="103"/>
        <v>3.6241956241956238E-15</v>
      </c>
      <c r="Y180" s="205">
        <f t="shared" si="104"/>
        <v>8.734903218351123</v>
      </c>
    </row>
    <row r="181" spans="1:25">
      <c r="A181" t="s">
        <v>857</v>
      </c>
      <c r="D181">
        <v>3353</v>
      </c>
      <c r="E181">
        <v>1.2</v>
      </c>
      <c r="H181" s="1">
        <f t="shared" si="75"/>
        <v>0</v>
      </c>
      <c r="I181" s="43">
        <f t="shared" si="89"/>
        <v>2.1757358598918919E-3</v>
      </c>
      <c r="J181" s="1">
        <f t="shared" si="90"/>
        <v>0</v>
      </c>
      <c r="K181" s="1">
        <f t="shared" si="91"/>
        <v>0</v>
      </c>
      <c r="L181" s="43">
        <f t="shared" si="92"/>
        <v>8.0202724324324303E-3</v>
      </c>
      <c r="M181" s="43">
        <f t="shared" si="93"/>
        <v>3.9098828108108099E-3</v>
      </c>
      <c r="N181" s="43">
        <f t="shared" si="94"/>
        <v>5.346848288288288E-5</v>
      </c>
      <c r="O181" s="43">
        <f t="shared" si="95"/>
        <v>1.0903898856840032E-2</v>
      </c>
      <c r="P181" s="43">
        <f t="shared" si="96"/>
        <v>4.3787149125596176</v>
      </c>
      <c r="Q181" s="43">
        <v>166.36</v>
      </c>
      <c r="R181" s="43">
        <f t="shared" si="97"/>
        <v>1.7249482988871225</v>
      </c>
      <c r="S181" s="43">
        <f t="shared" si="98"/>
        <v>210.53215135135133</v>
      </c>
      <c r="T181" s="43">
        <f t="shared" si="99"/>
        <v>421.06430270270266</v>
      </c>
      <c r="U181" s="43">
        <f t="shared" si="100"/>
        <v>1.0632936936936935E-3</v>
      </c>
      <c r="V181" s="43">
        <f t="shared" si="101"/>
        <v>6.6835603603603602E-5</v>
      </c>
      <c r="W181" s="43">
        <f t="shared" si="102"/>
        <v>7.5949549549549544E-4</v>
      </c>
      <c r="X181" s="43">
        <f t="shared" si="103"/>
        <v>7.5949549549549545E-13</v>
      </c>
      <c r="Y181" s="205">
        <f t="shared" si="104"/>
        <v>450.53204392653487</v>
      </c>
    </row>
    <row r="182" spans="1:25">
      <c r="A182" t="s">
        <v>858</v>
      </c>
      <c r="D182">
        <v>509</v>
      </c>
      <c r="E182">
        <v>1.2</v>
      </c>
      <c r="H182" s="1">
        <f t="shared" si="75"/>
        <v>0</v>
      </c>
      <c r="I182" s="43">
        <f t="shared" si="89"/>
        <v>3.3028617735907334E-4</v>
      </c>
      <c r="J182" s="1">
        <f t="shared" si="90"/>
        <v>0</v>
      </c>
      <c r="K182" s="1">
        <f t="shared" si="91"/>
        <v>0</v>
      </c>
      <c r="L182" s="43">
        <f t="shared" si="92"/>
        <v>1.2175122779922779E-3</v>
      </c>
      <c r="M182" s="43">
        <f t="shared" si="93"/>
        <v>5.9353723552123543E-4</v>
      </c>
      <c r="N182" s="43">
        <f t="shared" si="94"/>
        <v>8.1167485199485194E-6</v>
      </c>
      <c r="O182" s="43">
        <f t="shared" si="95"/>
        <v>1.0903898856840032E-2</v>
      </c>
      <c r="P182" s="43">
        <f t="shared" si="96"/>
        <v>0.66470799000681347</v>
      </c>
      <c r="Q182" s="43">
        <v>167.36</v>
      </c>
      <c r="R182" s="43">
        <f t="shared" si="97"/>
        <v>0.26185466272995689</v>
      </c>
      <c r="S182" s="43">
        <f t="shared" si="98"/>
        <v>31.959697297297296</v>
      </c>
      <c r="T182" s="43">
        <f t="shared" si="99"/>
        <v>63.919394594594593</v>
      </c>
      <c r="U182" s="43">
        <f t="shared" si="100"/>
        <v>1.6141261261261259E-4</v>
      </c>
      <c r="V182" s="43">
        <f t="shared" si="101"/>
        <v>1.0145935649935649E-5</v>
      </c>
      <c r="W182" s="43">
        <f t="shared" si="102"/>
        <v>1.1529472329472328E-4</v>
      </c>
      <c r="X182" s="43">
        <f t="shared" si="103"/>
        <v>1.1529472329472328E-13</v>
      </c>
      <c r="Y182" s="205">
        <f t="shared" si="104"/>
        <v>74.078993829419318</v>
      </c>
    </row>
    <row r="183" spans="1:25">
      <c r="A183" t="s">
        <v>859</v>
      </c>
      <c r="D183">
        <v>587</v>
      </c>
      <c r="E183">
        <v>1.2</v>
      </c>
      <c r="H183" s="1">
        <f t="shared" si="75"/>
        <v>0</v>
      </c>
      <c r="I183" s="43">
        <f t="shared" si="89"/>
        <v>3.8089977624710422E-4</v>
      </c>
      <c r="J183" s="1">
        <f t="shared" si="90"/>
        <v>0</v>
      </c>
      <c r="K183" s="1">
        <f t="shared" si="91"/>
        <v>0</v>
      </c>
      <c r="L183" s="43">
        <f t="shared" si="92"/>
        <v>1.4040858687258686E-3</v>
      </c>
      <c r="M183" s="43">
        <f t="shared" si="93"/>
        <v>6.8449186100386094E-4</v>
      </c>
      <c r="N183" s="43">
        <f t="shared" si="94"/>
        <v>9.3605724581724572E-6</v>
      </c>
      <c r="O183" s="43">
        <f t="shared" si="95"/>
        <v>1.0903898856840032E-2</v>
      </c>
      <c r="P183" s="43">
        <f t="shared" si="96"/>
        <v>0.76656893935952741</v>
      </c>
      <c r="Q183" s="43">
        <v>168.36</v>
      </c>
      <c r="R183" s="43">
        <f t="shared" si="97"/>
        <v>0.30198170338405633</v>
      </c>
      <c r="S183" s="43">
        <f t="shared" si="98"/>
        <v>36.857254054054053</v>
      </c>
      <c r="T183" s="43">
        <f t="shared" si="99"/>
        <v>73.714508108108106</v>
      </c>
      <c r="U183" s="43">
        <f t="shared" si="100"/>
        <v>1.8614774774774773E-4</v>
      </c>
      <c r="V183" s="43">
        <f t="shared" si="101"/>
        <v>1.1700715572715572E-5</v>
      </c>
      <c r="W183" s="43">
        <f t="shared" si="102"/>
        <v>1.3296267696267695E-4</v>
      </c>
      <c r="X183" s="43">
        <f t="shared" si="103"/>
        <v>1.3296267696267695E-13</v>
      </c>
      <c r="Y183" s="205">
        <f t="shared" si="104"/>
        <v>84.444752587357101</v>
      </c>
    </row>
    <row r="184" spans="1:25">
      <c r="A184" t="s">
        <v>860</v>
      </c>
      <c r="D184">
        <v>492</v>
      </c>
      <c r="E184">
        <v>1.2</v>
      </c>
      <c r="H184" s="1">
        <f t="shared" si="75"/>
        <v>0</v>
      </c>
      <c r="I184" s="43">
        <f t="shared" si="89"/>
        <v>3.1925500837065633E-4</v>
      </c>
      <c r="J184" s="1">
        <f t="shared" si="90"/>
        <v>0</v>
      </c>
      <c r="K184" s="1">
        <f t="shared" si="91"/>
        <v>0</v>
      </c>
      <c r="L184" s="43">
        <f t="shared" si="92"/>
        <v>1.1768488030888028E-3</v>
      </c>
      <c r="M184" s="43">
        <f t="shared" si="93"/>
        <v>5.7371379150579146E-4</v>
      </c>
      <c r="N184" s="43">
        <f t="shared" si="94"/>
        <v>7.8456586872586863E-6</v>
      </c>
      <c r="O184" s="43">
        <f t="shared" si="95"/>
        <v>1.0903898856840032E-2</v>
      </c>
      <c r="P184" s="43">
        <f t="shared" si="96"/>
        <v>0.64250752668635014</v>
      </c>
      <c r="Q184" s="43">
        <v>169.36</v>
      </c>
      <c r="R184" s="43">
        <f t="shared" si="97"/>
        <v>0.25310902566431981</v>
      </c>
      <c r="S184" s="43">
        <f t="shared" si="98"/>
        <v>30.89228108108108</v>
      </c>
      <c r="T184" s="43">
        <f t="shared" si="99"/>
        <v>61.78456216216216</v>
      </c>
      <c r="U184" s="43">
        <f t="shared" si="100"/>
        <v>1.5602162162162161E-4</v>
      </c>
      <c r="V184" s="43">
        <f t="shared" si="101"/>
        <v>9.8070733590733591E-6</v>
      </c>
      <c r="W184" s="43">
        <f t="shared" si="102"/>
        <v>1.1144401544401542E-4</v>
      </c>
      <c r="X184" s="43">
        <f t="shared" si="103"/>
        <v>1.1144401544401543E-13</v>
      </c>
      <c r="Y184" s="205">
        <f t="shared" si="104"/>
        <v>71.90850794627903</v>
      </c>
    </row>
    <row r="185" spans="1:25">
      <c r="A185" s="45" t="s">
        <v>861</v>
      </c>
      <c r="D185">
        <v>69</v>
      </c>
      <c r="E185">
        <v>1.2</v>
      </c>
      <c r="H185" s="1">
        <f t="shared" si="75"/>
        <v>0</v>
      </c>
      <c r="I185" s="43">
        <f t="shared" si="89"/>
        <v>4.4773568247104244E-5</v>
      </c>
      <c r="J185" s="1">
        <f t="shared" si="90"/>
        <v>0</v>
      </c>
      <c r="K185" s="1">
        <f t="shared" si="91"/>
        <v>0</v>
      </c>
      <c r="L185" s="43">
        <f t="shared" si="92"/>
        <v>1.650458687258687E-4</v>
      </c>
      <c r="M185" s="43">
        <f t="shared" si="93"/>
        <v>8.0459861003860992E-5</v>
      </c>
      <c r="N185" s="43">
        <f t="shared" si="94"/>
        <v>1.1003057915057913E-6</v>
      </c>
      <c r="O185" s="43">
        <f t="shared" si="95"/>
        <v>1.0903898856840032E-2</v>
      </c>
      <c r="P185" s="43">
        <f t="shared" si="96"/>
        <v>9.0107762888939347E-2</v>
      </c>
      <c r="Q185" s="43">
        <v>170.36</v>
      </c>
      <c r="R185" s="43">
        <f t="shared" si="97"/>
        <v>3.5496997501703383E-2</v>
      </c>
      <c r="S185" s="43">
        <f t="shared" si="98"/>
        <v>4.3324540540540539</v>
      </c>
      <c r="T185" s="43">
        <f t="shared" si="99"/>
        <v>8.6649081081081079</v>
      </c>
      <c r="U185" s="43">
        <f t="shared" si="100"/>
        <v>2.1881081081081078E-5</v>
      </c>
      <c r="V185" s="43">
        <f t="shared" si="101"/>
        <v>1.3753822393822393E-6</v>
      </c>
      <c r="W185" s="43">
        <f t="shared" si="102"/>
        <v>1.5629343629343627E-5</v>
      </c>
      <c r="X185" s="43">
        <f t="shared" si="103"/>
        <v>1.5629343629343628E-14</v>
      </c>
      <c r="Y185" s="205">
        <f t="shared" si="104"/>
        <v>15.951123912847299</v>
      </c>
    </row>
    <row r="186" spans="1:25">
      <c r="A186" t="s">
        <v>862</v>
      </c>
      <c r="D186">
        <v>79</v>
      </c>
      <c r="E186">
        <v>1.2</v>
      </c>
      <c r="H186" s="1">
        <f t="shared" ref="H186:H249" si="105">F186*0.000179</f>
        <v>0</v>
      </c>
      <c r="I186" s="43">
        <f t="shared" si="89"/>
        <v>5.1262491181467174E-5</v>
      </c>
      <c r="J186" s="1">
        <f t="shared" si="90"/>
        <v>0</v>
      </c>
      <c r="K186" s="1">
        <f t="shared" si="91"/>
        <v>0</v>
      </c>
      <c r="L186" s="43">
        <f t="shared" ref="L186:L217" si="106">CO2_malnutrition_charfact*D186</f>
        <v>1.8896555984555981E-4</v>
      </c>
      <c r="M186" s="43">
        <f t="shared" ref="M186:M217" si="107">CO2_workingcapacity_charfact*D186</f>
        <v>9.2120710424710412E-5</v>
      </c>
      <c r="N186" s="43">
        <f t="shared" ref="N186:N217" si="108">CO2_diarrhea_charfact*D186</f>
        <v>1.2597703989703988E-6</v>
      </c>
      <c r="O186" s="43">
        <f t="shared" ref="O186:O217" si="109">CO2_crop_charfact</f>
        <v>1.0903898856840032E-2</v>
      </c>
      <c r="P186" s="43">
        <f t="shared" ref="P186:P217" si="110">CO2_fruitandveg_charfact*D186</f>
        <v>0.10316685895980011</v>
      </c>
      <c r="Q186" s="43">
        <v>171.36</v>
      </c>
      <c r="R186" s="43">
        <f t="shared" ref="R186:R217" si="111">CO2_meatandfish_charfact*D186</f>
        <v>4.0641489893254598E-2</v>
      </c>
      <c r="S186" s="43">
        <f t="shared" ref="S186:S217" si="112">CO2_drinkingwater_charfact*D186</f>
        <v>4.9603459459459458</v>
      </c>
      <c r="T186" s="43">
        <f t="shared" ref="T186:T217" si="113">CO2_irrigationwater_charfact*D186</f>
        <v>9.9206918918918916</v>
      </c>
      <c r="U186" s="43">
        <f t="shared" ref="U186:U217" si="114">CO2_energyaccess_charfact*D186</f>
        <v>2.5052252252252249E-5</v>
      </c>
      <c r="V186" s="43">
        <f t="shared" ref="V186:V217" si="115">CO2_housing_charfact*D186</f>
        <v>1.5747129987129985E-6</v>
      </c>
      <c r="W186" s="43">
        <f t="shared" ref="W186:W217" si="116">CO2_separations_charfact*D186</f>
        <v>1.7894465894465892E-5</v>
      </c>
      <c r="X186" s="43">
        <f t="shared" ref="X186:X217" si="117">CO2_NEX_charfact*D186</f>
        <v>1.7894465894465892E-14</v>
      </c>
      <c r="Y186" s="205">
        <f t="shared" ref="Y186:Y217" si="118">(H186+I186)*YOLLvalue+J186*skincancervalue+K186*Lowvisionvalue+L186*malnutrition+M186*working_capacity+N186*diarrhea+O186*cropvalue+P186*Fruitandveg_value+Q186*woodvalue+R186*fishandmeatvalue+S186*drinkingwatervalue+T186*irrigationwatervalue+U186*energy_access+V186*housingvalue+W186*migrationvalue+X186*speciesvalue</f>
        <v>17.314939138223934</v>
      </c>
    </row>
    <row r="187" spans="1:25">
      <c r="A187" t="s">
        <v>863</v>
      </c>
      <c r="D187">
        <v>54</v>
      </c>
      <c r="E187">
        <v>1.2</v>
      </c>
      <c r="H187" s="1">
        <f t="shared" si="105"/>
        <v>0</v>
      </c>
      <c r="I187" s="43">
        <f t="shared" si="89"/>
        <v>3.5040183845559839E-5</v>
      </c>
      <c r="J187" s="1">
        <f t="shared" si="90"/>
        <v>0</v>
      </c>
      <c r="K187" s="1">
        <f t="shared" si="91"/>
        <v>0</v>
      </c>
      <c r="L187" s="43">
        <f t="shared" si="106"/>
        <v>1.2916633204633203E-4</v>
      </c>
      <c r="M187" s="43">
        <f t="shared" si="107"/>
        <v>6.2968586872586861E-5</v>
      </c>
      <c r="N187" s="43">
        <f t="shared" si="108"/>
        <v>8.6110888030888023E-7</v>
      </c>
      <c r="O187" s="43">
        <f t="shared" si="109"/>
        <v>1.0903898856840032E-2</v>
      </c>
      <c r="P187" s="43">
        <f t="shared" si="110"/>
        <v>7.0519118782648188E-2</v>
      </c>
      <c r="Q187" s="43">
        <v>172.36</v>
      </c>
      <c r="R187" s="43">
        <f t="shared" si="111"/>
        <v>2.7780258914376563E-2</v>
      </c>
      <c r="S187" s="43">
        <f t="shared" si="112"/>
        <v>3.3906162162162161</v>
      </c>
      <c r="T187" s="43">
        <f t="shared" si="113"/>
        <v>6.7812324324324322</v>
      </c>
      <c r="U187" s="43">
        <f t="shared" si="114"/>
        <v>1.7124324324324322E-5</v>
      </c>
      <c r="V187" s="43">
        <f t="shared" si="115"/>
        <v>1.0763861003861002E-6</v>
      </c>
      <c r="W187" s="43">
        <f t="shared" si="116"/>
        <v>1.223166023166023E-5</v>
      </c>
      <c r="X187" s="43">
        <f t="shared" si="117"/>
        <v>1.223166023166023E-14</v>
      </c>
      <c r="Y187" s="205">
        <f t="shared" si="118"/>
        <v>14.045401074782344</v>
      </c>
    </row>
    <row r="188" spans="1:25">
      <c r="A188" s="45" t="s">
        <v>864</v>
      </c>
      <c r="D188">
        <v>6260</v>
      </c>
      <c r="E188">
        <v>1.2</v>
      </c>
      <c r="H188" s="1">
        <f t="shared" si="105"/>
        <v>0</v>
      </c>
      <c r="I188" s="43">
        <f t="shared" si="89"/>
        <v>4.0620657569111962E-3</v>
      </c>
      <c r="J188" s="1">
        <f t="shared" si="90"/>
        <v>0</v>
      </c>
      <c r="K188" s="1">
        <f t="shared" si="91"/>
        <v>0</v>
      </c>
      <c r="L188" s="43">
        <f t="shared" si="106"/>
        <v>1.4973726640926638E-2</v>
      </c>
      <c r="M188" s="43">
        <f t="shared" si="107"/>
        <v>7.2996917374517365E-3</v>
      </c>
      <c r="N188" s="43">
        <f t="shared" si="108"/>
        <v>9.9824844272844261E-5</v>
      </c>
      <c r="O188" s="43">
        <f t="shared" si="109"/>
        <v>1.0903898856840032E-2</v>
      </c>
      <c r="P188" s="43">
        <f t="shared" si="110"/>
        <v>8.1749941403588444</v>
      </c>
      <c r="Q188" s="43">
        <v>173.36</v>
      </c>
      <c r="R188" s="43">
        <f t="shared" si="111"/>
        <v>3.2204522371110609</v>
      </c>
      <c r="S188" s="43">
        <f t="shared" si="112"/>
        <v>393.06032432432431</v>
      </c>
      <c r="T188" s="43">
        <f t="shared" si="113"/>
        <v>786.12064864864863</v>
      </c>
      <c r="U188" s="43">
        <f t="shared" si="114"/>
        <v>1.9851531531531528E-3</v>
      </c>
      <c r="V188" s="43">
        <f t="shared" si="115"/>
        <v>1.2478105534105533E-4</v>
      </c>
      <c r="W188" s="43">
        <f t="shared" si="116"/>
        <v>1.4179665379665377E-3</v>
      </c>
      <c r="X188" s="43">
        <f t="shared" si="117"/>
        <v>1.4179665379665378E-12</v>
      </c>
      <c r="Y188" s="205">
        <f t="shared" si="118"/>
        <v>835.64512994352333</v>
      </c>
    </row>
    <row r="189" spans="1:25">
      <c r="A189" t="s">
        <v>865</v>
      </c>
      <c r="D189">
        <v>3466</v>
      </c>
      <c r="E189">
        <v>1.2</v>
      </c>
      <c r="H189" s="1">
        <f t="shared" si="105"/>
        <v>0</v>
      </c>
      <c r="I189" s="43">
        <f t="shared" si="89"/>
        <v>2.249060689050193E-3</v>
      </c>
      <c r="J189" s="1">
        <f t="shared" si="90"/>
        <v>0</v>
      </c>
      <c r="K189" s="1">
        <f t="shared" si="91"/>
        <v>0</v>
      </c>
      <c r="L189" s="43">
        <f t="shared" si="106"/>
        <v>8.2905649420849416E-3</v>
      </c>
      <c r="M189" s="43">
        <f t="shared" si="107"/>
        <v>4.0416504092664089E-3</v>
      </c>
      <c r="N189" s="43">
        <f t="shared" si="108"/>
        <v>5.5270432947232946E-5</v>
      </c>
      <c r="O189" s="43">
        <f t="shared" si="109"/>
        <v>1.0903898856840032E-2</v>
      </c>
      <c r="P189" s="43">
        <f t="shared" si="110"/>
        <v>4.5262826981603448</v>
      </c>
      <c r="Q189" s="43">
        <v>174.36</v>
      </c>
      <c r="R189" s="43">
        <f t="shared" si="111"/>
        <v>1.7830810629116511</v>
      </c>
      <c r="S189" s="43">
        <f t="shared" si="112"/>
        <v>217.62732972972972</v>
      </c>
      <c r="T189" s="43">
        <f t="shared" si="113"/>
        <v>435.25465945945945</v>
      </c>
      <c r="U189" s="43">
        <f t="shared" si="114"/>
        <v>1.0991279279279277E-3</v>
      </c>
      <c r="V189" s="43">
        <f t="shared" si="115"/>
        <v>6.9088041184041176E-5</v>
      </c>
      <c r="W189" s="43">
        <f t="shared" si="116"/>
        <v>7.8509137709137703E-4</v>
      </c>
      <c r="X189" s="43">
        <f t="shared" si="117"/>
        <v>7.8509137709137697E-13</v>
      </c>
      <c r="Y189" s="205">
        <f t="shared" si="118"/>
        <v>465.81115597329097</v>
      </c>
    </row>
    <row r="190" spans="1:25">
      <c r="A190" t="s">
        <v>866</v>
      </c>
      <c r="D190">
        <v>221</v>
      </c>
      <c r="E190">
        <v>1.2</v>
      </c>
      <c r="H190" s="1">
        <f t="shared" si="105"/>
        <v>0</v>
      </c>
      <c r="I190" s="43">
        <f t="shared" si="89"/>
        <v>1.4340519684942084E-4</v>
      </c>
      <c r="J190" s="1">
        <f t="shared" si="90"/>
        <v>0</v>
      </c>
      <c r="K190" s="1">
        <f t="shared" si="91"/>
        <v>0</v>
      </c>
      <c r="L190" s="43">
        <f t="shared" si="106"/>
        <v>5.2862517374517365E-4</v>
      </c>
      <c r="M190" s="43">
        <f t="shared" si="107"/>
        <v>2.5770477220077217E-4</v>
      </c>
      <c r="N190" s="43">
        <f t="shared" si="108"/>
        <v>3.5241678249678247E-6</v>
      </c>
      <c r="O190" s="43">
        <f t="shared" si="109"/>
        <v>1.0903898856840032E-2</v>
      </c>
      <c r="P190" s="43">
        <f t="shared" si="110"/>
        <v>0.28860602316602313</v>
      </c>
      <c r="Q190" s="43">
        <v>175.36</v>
      </c>
      <c r="R190" s="43">
        <f t="shared" si="111"/>
        <v>0.11369328185328186</v>
      </c>
      <c r="S190" s="43">
        <f t="shared" si="112"/>
        <v>13.87641081081081</v>
      </c>
      <c r="T190" s="43">
        <f t="shared" si="113"/>
        <v>27.752821621621621</v>
      </c>
      <c r="U190" s="43">
        <f t="shared" si="114"/>
        <v>7.0082882882882875E-5</v>
      </c>
      <c r="V190" s="43">
        <f t="shared" si="115"/>
        <v>4.4052097812097808E-6</v>
      </c>
      <c r="W190" s="43">
        <f t="shared" si="116"/>
        <v>5.0059202059202055E-5</v>
      </c>
      <c r="X190" s="43">
        <f t="shared" si="117"/>
        <v>5.0059202059202056E-14</v>
      </c>
      <c r="Y190" s="205">
        <f t="shared" si="118"/>
        <v>36.273115338572183</v>
      </c>
    </row>
    <row r="191" spans="1:25">
      <c r="A191" t="s">
        <v>867</v>
      </c>
      <c r="D191">
        <v>3250</v>
      </c>
      <c r="E191">
        <v>1.2</v>
      </c>
      <c r="H191" s="1">
        <f t="shared" si="105"/>
        <v>0</v>
      </c>
      <c r="I191" s="43">
        <f t="shared" si="89"/>
        <v>2.1088999536679537E-3</v>
      </c>
      <c r="J191" s="1">
        <f t="shared" si="90"/>
        <v>0</v>
      </c>
      <c r="K191" s="1">
        <f t="shared" si="91"/>
        <v>0</v>
      </c>
      <c r="L191" s="43">
        <f t="shared" si="106"/>
        <v>7.7738996138996125E-3</v>
      </c>
      <c r="M191" s="43">
        <f t="shared" si="107"/>
        <v>3.7897760617760612E-3</v>
      </c>
      <c r="N191" s="43">
        <f t="shared" si="108"/>
        <v>5.182599742599742E-5</v>
      </c>
      <c r="O191" s="43">
        <f t="shared" si="109"/>
        <v>1.0903898856840032E-2</v>
      </c>
      <c r="P191" s="43">
        <f t="shared" si="110"/>
        <v>4.2442062230297513</v>
      </c>
      <c r="Q191" s="43">
        <v>176.36</v>
      </c>
      <c r="R191" s="43">
        <f t="shared" si="111"/>
        <v>1.6719600272541451</v>
      </c>
      <c r="S191" s="43">
        <f t="shared" si="112"/>
        <v>204.06486486486486</v>
      </c>
      <c r="T191" s="43">
        <f t="shared" si="113"/>
        <v>408.12972972972972</v>
      </c>
      <c r="U191" s="43">
        <f t="shared" si="114"/>
        <v>1.0306306306306304E-3</v>
      </c>
      <c r="V191" s="43">
        <f t="shared" si="115"/>
        <v>6.4782496782496776E-5</v>
      </c>
      <c r="W191" s="43">
        <f t="shared" si="116"/>
        <v>7.3616473616473603E-4</v>
      </c>
      <c r="X191" s="43">
        <f t="shared" si="117"/>
        <v>7.3616473616473609E-13</v>
      </c>
      <c r="Y191" s="205">
        <f t="shared" si="118"/>
        <v>437.29674710515553</v>
      </c>
    </row>
    <row r="192" spans="1:25">
      <c r="A192" t="s">
        <v>868</v>
      </c>
      <c r="D192">
        <v>3400</v>
      </c>
      <c r="E192">
        <v>1.2</v>
      </c>
      <c r="H192" s="1">
        <f t="shared" si="105"/>
        <v>0</v>
      </c>
      <c r="I192" s="43">
        <f t="shared" si="89"/>
        <v>2.2062337976833974E-3</v>
      </c>
      <c r="J192" s="1">
        <f t="shared" si="90"/>
        <v>0</v>
      </c>
      <c r="K192" s="1">
        <f t="shared" si="91"/>
        <v>0</v>
      </c>
      <c r="L192" s="43">
        <f t="shared" si="106"/>
        <v>8.1326949806949794E-3</v>
      </c>
      <c r="M192" s="43">
        <f t="shared" si="107"/>
        <v>3.9646888030888021E-3</v>
      </c>
      <c r="N192" s="43">
        <f t="shared" si="108"/>
        <v>5.4217966537966537E-5</v>
      </c>
      <c r="O192" s="43">
        <f t="shared" si="109"/>
        <v>1.0903898856840032E-2</v>
      </c>
      <c r="P192" s="43">
        <f t="shared" si="110"/>
        <v>4.4400926640926635</v>
      </c>
      <c r="Q192" s="43">
        <v>177.36</v>
      </c>
      <c r="R192" s="43">
        <f t="shared" si="111"/>
        <v>1.7491274131274133</v>
      </c>
      <c r="S192" s="43">
        <f t="shared" si="112"/>
        <v>213.48324324324324</v>
      </c>
      <c r="T192" s="43">
        <f t="shared" si="113"/>
        <v>426.96648648648647</v>
      </c>
      <c r="U192" s="43">
        <f t="shared" si="114"/>
        <v>1.0781981981981981E-3</v>
      </c>
      <c r="V192" s="43">
        <f t="shared" si="115"/>
        <v>6.7772458172458172E-5</v>
      </c>
      <c r="W192" s="43">
        <f t="shared" si="116"/>
        <v>7.7014157014157003E-4</v>
      </c>
      <c r="X192" s="43">
        <f t="shared" si="117"/>
        <v>7.7014157014157001E-13</v>
      </c>
      <c r="Y192" s="205">
        <f t="shared" si="118"/>
        <v>457.19397548580508</v>
      </c>
    </row>
    <row r="193" spans="1:25">
      <c r="A193" s="45" t="s">
        <v>869</v>
      </c>
      <c r="D193">
        <v>6201</v>
      </c>
      <c r="E193">
        <v>1.2</v>
      </c>
      <c r="H193" s="1">
        <f t="shared" si="105"/>
        <v>0</v>
      </c>
      <c r="I193" s="43">
        <f t="shared" si="89"/>
        <v>4.023781111598455E-3</v>
      </c>
      <c r="J193" s="1">
        <f t="shared" si="90"/>
        <v>0</v>
      </c>
      <c r="K193" s="1">
        <f t="shared" si="91"/>
        <v>0</v>
      </c>
      <c r="L193" s="43">
        <f t="shared" si="106"/>
        <v>1.4832600463320461E-2</v>
      </c>
      <c r="M193" s="43">
        <f t="shared" si="107"/>
        <v>7.2308927258687246E-3</v>
      </c>
      <c r="N193" s="43">
        <f t="shared" si="108"/>
        <v>9.8884003088803082E-5</v>
      </c>
      <c r="O193" s="43">
        <f t="shared" si="109"/>
        <v>1.0903898856840032E-2</v>
      </c>
      <c r="P193" s="43">
        <f t="shared" si="110"/>
        <v>8.0979454735407668</v>
      </c>
      <c r="Q193" s="43">
        <v>178.36</v>
      </c>
      <c r="R193" s="43">
        <f t="shared" si="111"/>
        <v>3.1900997320009088</v>
      </c>
      <c r="S193" s="43">
        <f t="shared" si="112"/>
        <v>389.35576216216214</v>
      </c>
      <c r="T193" s="43">
        <f t="shared" si="113"/>
        <v>778.71152432432427</v>
      </c>
      <c r="U193" s="43">
        <f t="shared" si="114"/>
        <v>1.9664432432432428E-3</v>
      </c>
      <c r="V193" s="43">
        <f t="shared" si="115"/>
        <v>1.2360500386100385E-4</v>
      </c>
      <c r="W193" s="43">
        <f t="shared" si="116"/>
        <v>1.4046023166023164E-3</v>
      </c>
      <c r="X193" s="43">
        <f t="shared" si="117"/>
        <v>1.4046023166023164E-12</v>
      </c>
      <c r="Y193" s="205">
        <f t="shared" si="118"/>
        <v>828.03462011380111</v>
      </c>
    </row>
    <row r="194" spans="1:25">
      <c r="A194" s="45" t="s">
        <v>870</v>
      </c>
      <c r="D194">
        <v>4628</v>
      </c>
      <c r="E194">
        <v>1.2</v>
      </c>
      <c r="H194" s="1">
        <f t="shared" si="105"/>
        <v>0</v>
      </c>
      <c r="I194" s="43">
        <f t="shared" si="89"/>
        <v>3.0030735340231657E-3</v>
      </c>
      <c r="J194" s="1">
        <f t="shared" si="90"/>
        <v>0</v>
      </c>
      <c r="K194" s="1">
        <f t="shared" si="91"/>
        <v>0</v>
      </c>
      <c r="L194" s="43">
        <f t="shared" si="106"/>
        <v>1.1070033050193048E-2</v>
      </c>
      <c r="M194" s="43">
        <f t="shared" si="107"/>
        <v>5.3966411119691108E-3</v>
      </c>
      <c r="N194" s="43">
        <f t="shared" si="108"/>
        <v>7.3800220334620332E-5</v>
      </c>
      <c r="O194" s="43">
        <f t="shared" si="109"/>
        <v>1.0903898856840032E-2</v>
      </c>
      <c r="P194" s="43">
        <f t="shared" si="110"/>
        <v>6.043749661594366</v>
      </c>
      <c r="Q194" s="43">
        <v>179.36</v>
      </c>
      <c r="R194" s="43">
        <f t="shared" si="111"/>
        <v>2.3808710788099026</v>
      </c>
      <c r="S194" s="43">
        <f t="shared" si="112"/>
        <v>290.58836756756756</v>
      </c>
      <c r="T194" s="43">
        <f t="shared" si="113"/>
        <v>581.17673513513512</v>
      </c>
      <c r="U194" s="43">
        <f t="shared" si="114"/>
        <v>1.4676180180180178E-3</v>
      </c>
      <c r="V194" s="43">
        <f t="shared" si="115"/>
        <v>9.2250275418275418E-5</v>
      </c>
      <c r="W194" s="43">
        <f t="shared" si="116"/>
        <v>1.0482985842985842E-3</v>
      </c>
      <c r="X194" s="43">
        <f t="shared" si="117"/>
        <v>1.0482985842985841E-12</v>
      </c>
      <c r="Y194" s="205">
        <f t="shared" si="118"/>
        <v>619.83848516205626</v>
      </c>
    </row>
    <row r="195" spans="1:25">
      <c r="A195" s="45" t="s">
        <v>871</v>
      </c>
      <c r="D195">
        <v>8575</v>
      </c>
      <c r="E195">
        <v>1.2</v>
      </c>
      <c r="H195" s="1">
        <f t="shared" si="105"/>
        <v>0</v>
      </c>
      <c r="I195" s="43">
        <f t="shared" si="89"/>
        <v>5.5642514162162161E-3</v>
      </c>
      <c r="J195" s="1">
        <f t="shared" si="90"/>
        <v>0</v>
      </c>
      <c r="K195" s="1">
        <f t="shared" si="91"/>
        <v>0</v>
      </c>
      <c r="L195" s="43">
        <f t="shared" si="106"/>
        <v>2.0511135135135132E-2</v>
      </c>
      <c r="M195" s="43">
        <f t="shared" si="107"/>
        <v>9.9991783783783764E-3</v>
      </c>
      <c r="N195" s="43">
        <f t="shared" si="108"/>
        <v>1.3674090090090089E-4</v>
      </c>
      <c r="O195" s="43">
        <f t="shared" si="109"/>
        <v>1.0903898856840032E-2</v>
      </c>
      <c r="P195" s="43">
        <f t="shared" si="110"/>
        <v>11.198174880763114</v>
      </c>
      <c r="Q195" s="43">
        <v>180.36</v>
      </c>
      <c r="R195" s="43">
        <f t="shared" si="111"/>
        <v>4.4114022257551673</v>
      </c>
      <c r="S195" s="43">
        <f t="shared" si="112"/>
        <v>538.4172972972973</v>
      </c>
      <c r="T195" s="43">
        <f t="shared" si="113"/>
        <v>1076.8345945945946</v>
      </c>
      <c r="U195" s="43">
        <f t="shared" si="114"/>
        <v>2.7192792792792787E-3</v>
      </c>
      <c r="V195" s="43">
        <f t="shared" si="115"/>
        <v>1.7092612612612613E-4</v>
      </c>
      <c r="W195" s="43">
        <f t="shared" si="116"/>
        <v>1.9423423423423421E-3</v>
      </c>
      <c r="X195" s="43">
        <f t="shared" si="117"/>
        <v>1.9423423423423421E-12</v>
      </c>
      <c r="Y195" s="205">
        <f t="shared" si="118"/>
        <v>1142.3883546182149</v>
      </c>
    </row>
    <row r="196" spans="1:25">
      <c r="A196" t="s">
        <v>872</v>
      </c>
      <c r="D196">
        <v>74</v>
      </c>
      <c r="E196">
        <v>1.2</v>
      </c>
      <c r="H196" s="1">
        <f t="shared" si="105"/>
        <v>0</v>
      </c>
      <c r="I196" s="43">
        <f t="shared" ref="I196:I259" si="119">charco2yoll*D196</f>
        <v>4.8018029714285713E-5</v>
      </c>
      <c r="J196" s="1">
        <f t="shared" si="90"/>
        <v>0</v>
      </c>
      <c r="K196" s="1">
        <f t="shared" si="91"/>
        <v>0</v>
      </c>
      <c r="L196" s="43">
        <f t="shared" si="106"/>
        <v>1.7700571428571425E-4</v>
      </c>
      <c r="M196" s="43">
        <f t="shared" si="107"/>
        <v>8.6290285714285702E-5</v>
      </c>
      <c r="N196" s="43">
        <f t="shared" si="108"/>
        <v>1.1800380952380952E-6</v>
      </c>
      <c r="O196" s="43">
        <f t="shared" si="109"/>
        <v>1.0903898856840032E-2</v>
      </c>
      <c r="P196" s="43">
        <f t="shared" si="110"/>
        <v>9.6637310924369724E-2</v>
      </c>
      <c r="Q196" s="43">
        <v>181.36</v>
      </c>
      <c r="R196" s="43">
        <f t="shared" si="111"/>
        <v>3.8069243697478994E-2</v>
      </c>
      <c r="S196" s="43">
        <f t="shared" si="112"/>
        <v>4.6463999999999999</v>
      </c>
      <c r="T196" s="43">
        <f t="shared" si="113"/>
        <v>9.2927999999999997</v>
      </c>
      <c r="U196" s="43">
        <f t="shared" si="114"/>
        <v>2.3466666666666663E-5</v>
      </c>
      <c r="V196" s="43">
        <f t="shared" si="115"/>
        <v>1.475047619047619E-6</v>
      </c>
      <c r="W196" s="43">
        <f t="shared" si="116"/>
        <v>1.6761904761904761E-5</v>
      </c>
      <c r="X196" s="43">
        <f t="shared" si="117"/>
        <v>1.6761904761904759E-14</v>
      </c>
      <c r="Y196" s="205">
        <f t="shared" si="118"/>
        <v>17.053031525535619</v>
      </c>
    </row>
    <row r="197" spans="1:25">
      <c r="A197" t="s">
        <v>873</v>
      </c>
      <c r="D197">
        <v>1</v>
      </c>
      <c r="E197">
        <v>1.2</v>
      </c>
      <c r="H197" s="1">
        <f t="shared" si="105"/>
        <v>0</v>
      </c>
      <c r="I197" s="43">
        <f t="shared" si="119"/>
        <v>6.4889229343629337E-7</v>
      </c>
      <c r="J197" s="1">
        <f t="shared" ref="J197:J260" si="120">F197*0.00000133</f>
        <v>0</v>
      </c>
      <c r="K197" s="1">
        <f t="shared" ref="K197:K260" si="121">F197*0.000266</f>
        <v>0</v>
      </c>
      <c r="L197" s="43">
        <f t="shared" si="106"/>
        <v>2.3919691119691116E-6</v>
      </c>
      <c r="M197" s="43">
        <f t="shared" si="107"/>
        <v>1.1660849420849419E-6</v>
      </c>
      <c r="N197" s="43">
        <f t="shared" si="108"/>
        <v>1.5946460746460745E-8</v>
      </c>
      <c r="O197" s="43">
        <f t="shared" si="109"/>
        <v>1.0903898856840032E-2</v>
      </c>
      <c r="P197" s="43">
        <f t="shared" si="110"/>
        <v>1.3059096070860774E-3</v>
      </c>
      <c r="Q197" s="43">
        <v>182.36</v>
      </c>
      <c r="R197" s="43">
        <f t="shared" si="111"/>
        <v>5.1444923915512154E-4</v>
      </c>
      <c r="S197" s="43">
        <f t="shared" si="112"/>
        <v>6.2789189189189187E-2</v>
      </c>
      <c r="T197" s="43">
        <f t="shared" si="113"/>
        <v>0.12557837837837837</v>
      </c>
      <c r="U197" s="43">
        <f t="shared" si="114"/>
        <v>3.1711711711711707E-7</v>
      </c>
      <c r="V197" s="43">
        <f t="shared" si="115"/>
        <v>1.9933075933075932E-8</v>
      </c>
      <c r="W197" s="43">
        <f t="shared" si="116"/>
        <v>2.2651222651222648E-7</v>
      </c>
      <c r="X197" s="43">
        <f t="shared" si="117"/>
        <v>2.2651222651222649E-16</v>
      </c>
      <c r="Y197" s="205">
        <f t="shared" si="118"/>
        <v>7.4291803802861693</v>
      </c>
    </row>
    <row r="198" spans="1:25">
      <c r="A198" t="s">
        <v>874</v>
      </c>
      <c r="D198">
        <v>1051</v>
      </c>
      <c r="E198">
        <v>1.2</v>
      </c>
      <c r="H198" s="1">
        <f t="shared" si="105"/>
        <v>0</v>
      </c>
      <c r="I198" s="43">
        <f t="shared" si="119"/>
        <v>6.8198580040154438E-4</v>
      </c>
      <c r="J198" s="1">
        <f t="shared" si="120"/>
        <v>0</v>
      </c>
      <c r="K198" s="1">
        <f t="shared" si="121"/>
        <v>0</v>
      </c>
      <c r="L198" s="43">
        <f t="shared" si="106"/>
        <v>2.5139595366795364E-3</v>
      </c>
      <c r="M198" s="43">
        <f t="shared" si="107"/>
        <v>1.225555274131274E-3</v>
      </c>
      <c r="N198" s="43">
        <f t="shared" si="108"/>
        <v>1.6759730244530243E-5</v>
      </c>
      <c r="O198" s="43">
        <f t="shared" si="109"/>
        <v>1.0903898856840032E-2</v>
      </c>
      <c r="P198" s="43">
        <f t="shared" si="110"/>
        <v>1.3725109970474674</v>
      </c>
      <c r="Q198" s="43">
        <v>183.36</v>
      </c>
      <c r="R198" s="43">
        <f t="shared" si="111"/>
        <v>0.54068615035203271</v>
      </c>
      <c r="S198" s="43">
        <f t="shared" si="112"/>
        <v>65.991437837837836</v>
      </c>
      <c r="T198" s="43">
        <f t="shared" si="113"/>
        <v>131.98287567567567</v>
      </c>
      <c r="U198" s="43">
        <f t="shared" si="114"/>
        <v>3.3329009009009004E-4</v>
      </c>
      <c r="V198" s="43">
        <f t="shared" si="115"/>
        <v>2.0949662805662804E-5</v>
      </c>
      <c r="W198" s="43">
        <f t="shared" si="116"/>
        <v>2.3806435006435003E-4</v>
      </c>
      <c r="X198" s="43">
        <f t="shared" si="117"/>
        <v>2.3806435006435003E-13</v>
      </c>
      <c r="Y198" s="205">
        <f t="shared" si="118"/>
        <v>146.46977904483305</v>
      </c>
    </row>
    <row r="199" spans="1:25">
      <c r="A199" t="s">
        <v>875</v>
      </c>
      <c r="D199">
        <v>68</v>
      </c>
      <c r="E199">
        <v>1.2</v>
      </c>
      <c r="H199" s="1">
        <f t="shared" si="105"/>
        <v>0</v>
      </c>
      <c r="I199" s="43">
        <f t="shared" si="119"/>
        <v>4.4124675953667951E-5</v>
      </c>
      <c r="J199" s="1">
        <f t="shared" si="120"/>
        <v>0</v>
      </c>
      <c r="K199" s="1">
        <f t="shared" si="121"/>
        <v>0</v>
      </c>
      <c r="L199" s="43">
        <f t="shared" si="106"/>
        <v>1.6265389961389959E-4</v>
      </c>
      <c r="M199" s="43">
        <f t="shared" si="107"/>
        <v>7.9293776061776055E-5</v>
      </c>
      <c r="N199" s="43">
        <f t="shared" si="108"/>
        <v>1.0843593307593307E-6</v>
      </c>
      <c r="O199" s="43">
        <f t="shared" si="109"/>
        <v>1.0903898856840032E-2</v>
      </c>
      <c r="P199" s="43">
        <f t="shared" si="110"/>
        <v>8.8801853281853263E-2</v>
      </c>
      <c r="Q199" s="43">
        <v>184.36</v>
      </c>
      <c r="R199" s="43">
        <f t="shared" si="111"/>
        <v>3.4982548262548263E-2</v>
      </c>
      <c r="S199" s="43">
        <f t="shared" si="112"/>
        <v>4.2696648648648647</v>
      </c>
      <c r="T199" s="43">
        <f t="shared" si="113"/>
        <v>8.5393297297297295</v>
      </c>
      <c r="U199" s="43">
        <f t="shared" si="114"/>
        <v>2.1563963963963959E-5</v>
      </c>
      <c r="V199" s="43">
        <f t="shared" si="115"/>
        <v>1.3554491634491633E-6</v>
      </c>
      <c r="W199" s="43">
        <f t="shared" si="116"/>
        <v>1.54028314028314E-5</v>
      </c>
      <c r="X199" s="43">
        <f t="shared" si="117"/>
        <v>1.5402831402831402E-14</v>
      </c>
      <c r="Y199" s="205">
        <f t="shared" si="118"/>
        <v>16.37874239030964</v>
      </c>
    </row>
    <row r="200" spans="1:25">
      <c r="A200" t="s">
        <v>876</v>
      </c>
      <c r="D200">
        <v>15</v>
      </c>
      <c r="E200">
        <v>1.2</v>
      </c>
      <c r="H200" s="1">
        <f t="shared" si="105"/>
        <v>0</v>
      </c>
      <c r="I200" s="43">
        <f t="shared" si="119"/>
        <v>9.7333844015444003E-6</v>
      </c>
      <c r="J200" s="1">
        <f t="shared" si="120"/>
        <v>0</v>
      </c>
      <c r="K200" s="1">
        <f t="shared" si="121"/>
        <v>0</v>
      </c>
      <c r="L200" s="43">
        <f t="shared" si="106"/>
        <v>3.5879536679536674E-5</v>
      </c>
      <c r="M200" s="43">
        <f t="shared" si="107"/>
        <v>1.7491274131274127E-5</v>
      </c>
      <c r="N200" s="43">
        <f t="shared" si="108"/>
        <v>2.3919691119691117E-7</v>
      </c>
      <c r="O200" s="43">
        <f t="shared" si="109"/>
        <v>1.0903898856840032E-2</v>
      </c>
      <c r="P200" s="43">
        <f t="shared" si="110"/>
        <v>1.9588644106291162E-2</v>
      </c>
      <c r="Q200" s="43">
        <v>185.36</v>
      </c>
      <c r="R200" s="43">
        <f t="shared" si="111"/>
        <v>7.7167385873268234E-3</v>
      </c>
      <c r="S200" s="43">
        <f t="shared" si="112"/>
        <v>0.94183783783783781</v>
      </c>
      <c r="T200" s="43">
        <f t="shared" si="113"/>
        <v>1.8836756756756756</v>
      </c>
      <c r="U200" s="43">
        <f t="shared" si="114"/>
        <v>4.7567567567567564E-6</v>
      </c>
      <c r="V200" s="43">
        <f t="shared" si="115"/>
        <v>2.98996138996139E-7</v>
      </c>
      <c r="W200" s="43">
        <f t="shared" si="116"/>
        <v>3.3976833976833971E-6</v>
      </c>
      <c r="X200" s="43">
        <f t="shared" si="117"/>
        <v>3.3976833976833973E-15</v>
      </c>
      <c r="Y200" s="205">
        <f t="shared" si="118"/>
        <v>9.4025216958134603</v>
      </c>
    </row>
    <row r="201" spans="1:25">
      <c r="A201" t="s">
        <v>877</v>
      </c>
      <c r="D201">
        <v>175</v>
      </c>
      <c r="E201">
        <v>1.2</v>
      </c>
      <c r="H201" s="1">
        <f t="shared" si="105"/>
        <v>0</v>
      </c>
      <c r="I201" s="43">
        <f t="shared" si="119"/>
        <v>1.1355615135135134E-4</v>
      </c>
      <c r="J201" s="1">
        <f t="shared" si="120"/>
        <v>0</v>
      </c>
      <c r="K201" s="1">
        <f t="shared" si="121"/>
        <v>0</v>
      </c>
      <c r="L201" s="43">
        <f t="shared" si="106"/>
        <v>4.1859459459459453E-4</v>
      </c>
      <c r="M201" s="43">
        <f t="shared" si="107"/>
        <v>2.0406486486486484E-4</v>
      </c>
      <c r="N201" s="43">
        <f t="shared" si="108"/>
        <v>2.7906306306306304E-6</v>
      </c>
      <c r="O201" s="43">
        <f t="shared" si="109"/>
        <v>1.0903898856840032E-2</v>
      </c>
      <c r="P201" s="43">
        <f t="shared" si="110"/>
        <v>0.22853418124006356</v>
      </c>
      <c r="Q201" s="43">
        <v>186.36</v>
      </c>
      <c r="R201" s="43">
        <f t="shared" si="111"/>
        <v>9.0028616852146262E-2</v>
      </c>
      <c r="S201" s="43">
        <f t="shared" si="112"/>
        <v>10.988108108108108</v>
      </c>
      <c r="T201" s="43">
        <f t="shared" si="113"/>
        <v>21.976216216216216</v>
      </c>
      <c r="U201" s="43">
        <f t="shared" si="114"/>
        <v>5.5495495495495487E-5</v>
      </c>
      <c r="V201" s="43">
        <f t="shared" si="115"/>
        <v>3.4882882882882881E-6</v>
      </c>
      <c r="W201" s="43">
        <f t="shared" si="116"/>
        <v>3.9639639639639633E-5</v>
      </c>
      <c r="X201" s="43">
        <f t="shared" si="117"/>
        <v>3.9639639639639633E-14</v>
      </c>
      <c r="Y201" s="205">
        <f t="shared" si="118"/>
        <v>30.623565301839658</v>
      </c>
    </row>
    <row r="202" spans="1:25">
      <c r="A202" t="s">
        <v>878</v>
      </c>
      <c r="D202">
        <v>159</v>
      </c>
      <c r="E202">
        <v>1.2</v>
      </c>
      <c r="H202" s="1">
        <f t="shared" si="105"/>
        <v>0</v>
      </c>
      <c r="I202" s="43">
        <f t="shared" si="119"/>
        <v>1.0317387465637064E-4</v>
      </c>
      <c r="J202" s="1">
        <f t="shared" si="120"/>
        <v>0</v>
      </c>
      <c r="K202" s="1">
        <f t="shared" si="121"/>
        <v>0</v>
      </c>
      <c r="L202" s="43">
        <f t="shared" si="106"/>
        <v>3.8032308880308875E-4</v>
      </c>
      <c r="M202" s="43">
        <f t="shared" si="107"/>
        <v>1.8540750579150577E-4</v>
      </c>
      <c r="N202" s="43">
        <f t="shared" si="108"/>
        <v>2.5354872586872587E-6</v>
      </c>
      <c r="O202" s="43">
        <f t="shared" si="109"/>
        <v>1.0903898856840032E-2</v>
      </c>
      <c r="P202" s="43">
        <f t="shared" si="110"/>
        <v>0.2076396275266863</v>
      </c>
      <c r="Q202" s="43">
        <v>187.36</v>
      </c>
      <c r="R202" s="43">
        <f t="shared" si="111"/>
        <v>8.1797429025664323E-2</v>
      </c>
      <c r="S202" s="43">
        <f t="shared" si="112"/>
        <v>9.9834810810810808</v>
      </c>
      <c r="T202" s="43">
        <f t="shared" si="113"/>
        <v>19.966962162162162</v>
      </c>
      <c r="U202" s="43">
        <f t="shared" si="114"/>
        <v>5.0421621621621613E-5</v>
      </c>
      <c r="V202" s="43">
        <f t="shared" si="115"/>
        <v>3.1693590733590731E-6</v>
      </c>
      <c r="W202" s="43">
        <f t="shared" si="116"/>
        <v>3.6015444015444014E-5</v>
      </c>
      <c r="X202" s="43">
        <f t="shared" si="117"/>
        <v>3.601544401544401E-14</v>
      </c>
      <c r="Y202" s="205">
        <f t="shared" si="118"/>
        <v>28.545460941237035</v>
      </c>
    </row>
    <row r="203" spans="1:25">
      <c r="A203" t="s">
        <v>879</v>
      </c>
      <c r="D203">
        <v>748</v>
      </c>
      <c r="E203">
        <v>1.2</v>
      </c>
      <c r="H203" s="1">
        <f t="shared" si="105"/>
        <v>0</v>
      </c>
      <c r="I203" s="43">
        <f t="shared" si="119"/>
        <v>4.8537143549034746E-4</v>
      </c>
      <c r="J203" s="1">
        <f t="shared" si="120"/>
        <v>0</v>
      </c>
      <c r="K203" s="1">
        <f t="shared" si="121"/>
        <v>0</v>
      </c>
      <c r="L203" s="43">
        <f t="shared" si="106"/>
        <v>1.7891928957528955E-3</v>
      </c>
      <c r="M203" s="43">
        <f t="shared" si="107"/>
        <v>8.7223153667953654E-4</v>
      </c>
      <c r="N203" s="43">
        <f t="shared" si="108"/>
        <v>1.1927952638352637E-5</v>
      </c>
      <c r="O203" s="43">
        <f t="shared" si="109"/>
        <v>1.0903898856840032E-2</v>
      </c>
      <c r="P203" s="43">
        <f t="shared" si="110"/>
        <v>0.97682038610038591</v>
      </c>
      <c r="Q203" s="43">
        <v>188.36</v>
      </c>
      <c r="R203" s="43">
        <f t="shared" si="111"/>
        <v>0.38480803088803089</v>
      </c>
      <c r="S203" s="43">
        <f t="shared" si="112"/>
        <v>46.966313513513512</v>
      </c>
      <c r="T203" s="43">
        <f t="shared" si="113"/>
        <v>93.932627027027024</v>
      </c>
      <c r="U203" s="43">
        <f t="shared" si="114"/>
        <v>2.3720360360360358E-4</v>
      </c>
      <c r="V203" s="43">
        <f t="shared" si="115"/>
        <v>1.4909940797940797E-5</v>
      </c>
      <c r="W203" s="43">
        <f t="shared" si="116"/>
        <v>1.694311454311454E-4</v>
      </c>
      <c r="X203" s="43">
        <f t="shared" si="117"/>
        <v>1.6943114543114541E-13</v>
      </c>
      <c r="Y203" s="205">
        <f t="shared" si="118"/>
        <v>106.55817771592098</v>
      </c>
    </row>
    <row r="204" spans="1:25">
      <c r="A204" t="s">
        <v>880</v>
      </c>
      <c r="D204">
        <v>909</v>
      </c>
      <c r="E204">
        <v>1.2</v>
      </c>
      <c r="H204" s="1">
        <f t="shared" si="105"/>
        <v>0</v>
      </c>
      <c r="I204" s="43">
        <f t="shared" si="119"/>
        <v>5.8984309473359071E-4</v>
      </c>
      <c r="J204" s="1">
        <f t="shared" si="120"/>
        <v>0</v>
      </c>
      <c r="K204" s="1">
        <f t="shared" si="121"/>
        <v>0</v>
      </c>
      <c r="L204" s="43">
        <f t="shared" si="106"/>
        <v>2.1742999227799225E-3</v>
      </c>
      <c r="M204" s="43">
        <f t="shared" si="107"/>
        <v>1.0599712123552122E-3</v>
      </c>
      <c r="N204" s="43">
        <f t="shared" si="108"/>
        <v>1.4495332818532817E-5</v>
      </c>
      <c r="O204" s="43">
        <f t="shared" si="109"/>
        <v>1.0903898856840032E-2</v>
      </c>
      <c r="P204" s="43">
        <f t="shared" si="110"/>
        <v>1.1870718328412444</v>
      </c>
      <c r="Q204" s="43">
        <v>189.36</v>
      </c>
      <c r="R204" s="43">
        <f t="shared" si="111"/>
        <v>0.46763435839200546</v>
      </c>
      <c r="S204" s="43">
        <f t="shared" si="112"/>
        <v>57.075372972972971</v>
      </c>
      <c r="T204" s="43">
        <f t="shared" si="113"/>
        <v>114.15074594594594</v>
      </c>
      <c r="U204" s="43">
        <f t="shared" si="114"/>
        <v>2.8825945945945943E-4</v>
      </c>
      <c r="V204" s="43">
        <f t="shared" si="115"/>
        <v>1.811916602316602E-5</v>
      </c>
      <c r="W204" s="43">
        <f t="shared" si="116"/>
        <v>2.0589961389961387E-4</v>
      </c>
      <c r="X204" s="43">
        <f t="shared" si="117"/>
        <v>2.0589961389961387E-13</v>
      </c>
      <c r="Y204" s="205">
        <f t="shared" si="118"/>
        <v>127.91160284448482</v>
      </c>
    </row>
    <row r="205" spans="1:25">
      <c r="A205" s="45" t="s">
        <v>1848</v>
      </c>
      <c r="D205">
        <v>269</v>
      </c>
      <c r="E205">
        <v>1.2</v>
      </c>
      <c r="H205" s="1">
        <f t="shared" si="105"/>
        <v>0</v>
      </c>
      <c r="I205" s="43">
        <f t="shared" si="119"/>
        <v>1.7455202693436291E-4</v>
      </c>
      <c r="J205" s="1">
        <f t="shared" si="120"/>
        <v>0</v>
      </c>
      <c r="K205" s="1">
        <f t="shared" si="121"/>
        <v>0</v>
      </c>
      <c r="L205" s="43">
        <f t="shared" si="106"/>
        <v>6.4343969111969098E-4</v>
      </c>
      <c r="M205" s="43">
        <f t="shared" si="107"/>
        <v>3.136768494208494E-4</v>
      </c>
      <c r="N205" s="43">
        <f t="shared" si="108"/>
        <v>4.2895979407979407E-6</v>
      </c>
      <c r="O205" s="43">
        <f t="shared" si="109"/>
        <v>1.0903898856840032E-2</v>
      </c>
      <c r="P205" s="43">
        <f t="shared" si="110"/>
        <v>0.35128968430615481</v>
      </c>
      <c r="Q205" s="43">
        <v>190.36</v>
      </c>
      <c r="R205" s="43">
        <f t="shared" si="111"/>
        <v>0.13838684533272769</v>
      </c>
      <c r="S205" s="43">
        <f t="shared" si="112"/>
        <v>16.890291891891891</v>
      </c>
      <c r="T205" s="43">
        <f t="shared" si="113"/>
        <v>33.780583783783783</v>
      </c>
      <c r="U205" s="43">
        <f t="shared" si="114"/>
        <v>8.5304504504504493E-5</v>
      </c>
      <c r="V205" s="43">
        <f t="shared" si="115"/>
        <v>5.3619974259974253E-6</v>
      </c>
      <c r="W205" s="43">
        <f t="shared" si="116"/>
        <v>6.0931788931788926E-5</v>
      </c>
      <c r="X205" s="43">
        <f t="shared" si="117"/>
        <v>6.0931788931788925E-14</v>
      </c>
      <c r="Y205" s="205">
        <f t="shared" si="118"/>
        <v>43.227428420380029</v>
      </c>
    </row>
    <row r="206" spans="1:25">
      <c r="A206" s="45" t="s">
        <v>1849</v>
      </c>
      <c r="D206">
        <v>287</v>
      </c>
      <c r="E206">
        <v>1.2</v>
      </c>
      <c r="H206" s="1">
        <f t="shared" si="105"/>
        <v>0</v>
      </c>
      <c r="I206" s="43">
        <f t="shared" si="119"/>
        <v>1.8623208821621619E-4</v>
      </c>
      <c r="J206" s="1">
        <f t="shared" si="120"/>
        <v>0</v>
      </c>
      <c r="K206" s="1">
        <f t="shared" si="121"/>
        <v>0</v>
      </c>
      <c r="L206" s="43">
        <f t="shared" si="106"/>
        <v>6.8649513513513504E-4</v>
      </c>
      <c r="M206" s="43">
        <f t="shared" si="107"/>
        <v>3.3466637837837834E-4</v>
      </c>
      <c r="N206" s="43">
        <f t="shared" si="108"/>
        <v>4.5766342342342341E-6</v>
      </c>
      <c r="O206" s="43">
        <f t="shared" si="109"/>
        <v>1.0903898856840032E-2</v>
      </c>
      <c r="P206" s="43">
        <f t="shared" si="110"/>
        <v>0.37479605723370424</v>
      </c>
      <c r="Q206" s="43">
        <v>191.36</v>
      </c>
      <c r="R206" s="43">
        <f t="shared" si="111"/>
        <v>0.14764693163751988</v>
      </c>
      <c r="S206" s="43">
        <f t="shared" si="112"/>
        <v>18.020497297297297</v>
      </c>
      <c r="T206" s="43">
        <f t="shared" si="113"/>
        <v>36.040994594594594</v>
      </c>
      <c r="U206" s="43">
        <f t="shared" si="114"/>
        <v>9.1012612612612604E-5</v>
      </c>
      <c r="V206" s="43">
        <f t="shared" si="115"/>
        <v>5.7207927927927928E-6</v>
      </c>
      <c r="W206" s="43">
        <f t="shared" si="116"/>
        <v>6.5009009009009007E-5</v>
      </c>
      <c r="X206" s="43">
        <f t="shared" si="117"/>
        <v>6.5009009009009007E-14</v>
      </c>
      <c r="Y206" s="205">
        <f t="shared" si="118"/>
        <v>45.650295826057977</v>
      </c>
    </row>
    <row r="207" spans="1:25">
      <c r="A207" s="45" t="s">
        <v>1850</v>
      </c>
      <c r="D207">
        <v>268</v>
      </c>
      <c r="E207">
        <v>1.2</v>
      </c>
      <c r="H207" s="1">
        <f t="shared" si="105"/>
        <v>0</v>
      </c>
      <c r="I207" s="43">
        <f t="shared" si="119"/>
        <v>1.7390313464092663E-4</v>
      </c>
      <c r="J207" s="1">
        <f t="shared" si="120"/>
        <v>0</v>
      </c>
      <c r="K207" s="1">
        <f t="shared" si="121"/>
        <v>0</v>
      </c>
      <c r="L207" s="43">
        <f t="shared" si="106"/>
        <v>6.410477220077219E-4</v>
      </c>
      <c r="M207" s="43">
        <f t="shared" si="107"/>
        <v>3.1251076447876442E-4</v>
      </c>
      <c r="N207" s="43">
        <f t="shared" si="108"/>
        <v>4.2736514800514797E-6</v>
      </c>
      <c r="O207" s="43">
        <f t="shared" si="109"/>
        <v>1.0903898856840032E-2</v>
      </c>
      <c r="P207" s="43">
        <f t="shared" si="110"/>
        <v>0.34998377469906877</v>
      </c>
      <c r="Q207" s="43">
        <v>192.36</v>
      </c>
      <c r="R207" s="43">
        <f t="shared" si="111"/>
        <v>0.13787239609357257</v>
      </c>
      <c r="S207" s="43">
        <f t="shared" si="112"/>
        <v>16.827502702702702</v>
      </c>
      <c r="T207" s="43">
        <f t="shared" si="113"/>
        <v>33.655005405405404</v>
      </c>
      <c r="U207" s="43">
        <f t="shared" si="114"/>
        <v>8.4987387387387378E-5</v>
      </c>
      <c r="V207" s="43">
        <f t="shared" si="115"/>
        <v>5.3420643500643496E-6</v>
      </c>
      <c r="W207" s="43">
        <f t="shared" si="116"/>
        <v>6.0705276705276695E-5</v>
      </c>
      <c r="X207" s="43">
        <f t="shared" si="117"/>
        <v>6.0705276705276693E-14</v>
      </c>
      <c r="Y207" s="205">
        <f t="shared" si="118"/>
        <v>43.175046897842378</v>
      </c>
    </row>
    <row r="208" spans="1:25">
      <c r="A208" t="s">
        <v>881</v>
      </c>
      <c r="D208">
        <v>5241</v>
      </c>
      <c r="E208">
        <v>1.2</v>
      </c>
      <c r="H208" s="1">
        <f t="shared" si="105"/>
        <v>0</v>
      </c>
      <c r="I208" s="43">
        <f t="shared" si="119"/>
        <v>3.4008445098996135E-3</v>
      </c>
      <c r="J208" s="1">
        <f t="shared" si="120"/>
        <v>0</v>
      </c>
      <c r="K208" s="1">
        <f t="shared" si="121"/>
        <v>0</v>
      </c>
      <c r="L208" s="43">
        <f t="shared" si="106"/>
        <v>1.2536310115830113E-2</v>
      </c>
      <c r="M208" s="43">
        <f t="shared" si="107"/>
        <v>6.1114511814671802E-3</v>
      </c>
      <c r="N208" s="43">
        <f t="shared" si="108"/>
        <v>8.3575400772200771E-5</v>
      </c>
      <c r="O208" s="43">
        <f t="shared" si="109"/>
        <v>1.0903898856840032E-2</v>
      </c>
      <c r="P208" s="43">
        <f t="shared" si="110"/>
        <v>6.8442722507381317</v>
      </c>
      <c r="Q208" s="43">
        <v>193.36</v>
      </c>
      <c r="R208" s="43">
        <f t="shared" si="111"/>
        <v>2.6962284624119919</v>
      </c>
      <c r="S208" s="43">
        <f t="shared" si="112"/>
        <v>329.07814054054052</v>
      </c>
      <c r="T208" s="43">
        <f t="shared" si="113"/>
        <v>658.15628108108103</v>
      </c>
      <c r="U208" s="43">
        <f t="shared" si="114"/>
        <v>1.6620108108108106E-3</v>
      </c>
      <c r="V208" s="43">
        <f t="shared" si="115"/>
        <v>1.0446925096525096E-4</v>
      </c>
      <c r="W208" s="43">
        <f t="shared" si="116"/>
        <v>1.1871505791505789E-3</v>
      </c>
      <c r="X208" s="43">
        <f t="shared" si="117"/>
        <v>1.187150579150579E-12</v>
      </c>
      <c r="Y208" s="205">
        <f t="shared" si="118"/>
        <v>701.548358477644</v>
      </c>
    </row>
    <row r="209" spans="1:25">
      <c r="A209" t="s">
        <v>882</v>
      </c>
      <c r="D209">
        <v>1</v>
      </c>
      <c r="E209">
        <v>1.2</v>
      </c>
      <c r="H209" s="1">
        <f t="shared" si="105"/>
        <v>0</v>
      </c>
      <c r="I209" s="43">
        <f t="shared" si="119"/>
        <v>6.4889229343629337E-7</v>
      </c>
      <c r="J209" s="1">
        <f t="shared" si="120"/>
        <v>0</v>
      </c>
      <c r="K209" s="1">
        <f t="shared" si="121"/>
        <v>0</v>
      </c>
      <c r="L209" s="43">
        <f t="shared" si="106"/>
        <v>2.3919691119691116E-6</v>
      </c>
      <c r="M209" s="43">
        <f t="shared" si="107"/>
        <v>1.1660849420849419E-6</v>
      </c>
      <c r="N209" s="43">
        <f t="shared" si="108"/>
        <v>1.5946460746460745E-8</v>
      </c>
      <c r="O209" s="43">
        <f t="shared" si="109"/>
        <v>1.0903898856840032E-2</v>
      </c>
      <c r="P209" s="43">
        <f t="shared" si="110"/>
        <v>1.3059096070860774E-3</v>
      </c>
      <c r="Q209" s="43">
        <v>194.36</v>
      </c>
      <c r="R209" s="43">
        <f t="shared" si="111"/>
        <v>5.1444923915512154E-4</v>
      </c>
      <c r="S209" s="43">
        <f t="shared" si="112"/>
        <v>6.2789189189189187E-2</v>
      </c>
      <c r="T209" s="43">
        <f t="shared" si="113"/>
        <v>0.12557837837837837</v>
      </c>
      <c r="U209" s="43">
        <f t="shared" si="114"/>
        <v>3.1711711711711707E-7</v>
      </c>
      <c r="V209" s="43">
        <f t="shared" si="115"/>
        <v>1.9933075933075932E-8</v>
      </c>
      <c r="W209" s="43">
        <f t="shared" si="116"/>
        <v>2.2651222651222648E-7</v>
      </c>
      <c r="X209" s="43">
        <f t="shared" si="117"/>
        <v>2.2651222651222649E-16</v>
      </c>
      <c r="Y209" s="205">
        <f t="shared" si="118"/>
        <v>7.9091803802861698</v>
      </c>
    </row>
    <row r="210" spans="1:25">
      <c r="A210" t="s">
        <v>883</v>
      </c>
      <c r="D210">
        <v>1</v>
      </c>
      <c r="E210">
        <v>1.2</v>
      </c>
      <c r="H210" s="1">
        <f t="shared" si="105"/>
        <v>0</v>
      </c>
      <c r="I210" s="43">
        <f t="shared" si="119"/>
        <v>6.4889229343629337E-7</v>
      </c>
      <c r="J210" s="1">
        <f t="shared" si="120"/>
        <v>0</v>
      </c>
      <c r="K210" s="1">
        <f t="shared" si="121"/>
        <v>0</v>
      </c>
      <c r="L210" s="43">
        <f t="shared" si="106"/>
        <v>2.3919691119691116E-6</v>
      </c>
      <c r="M210" s="43">
        <f t="shared" si="107"/>
        <v>1.1660849420849419E-6</v>
      </c>
      <c r="N210" s="43">
        <f t="shared" si="108"/>
        <v>1.5946460746460745E-8</v>
      </c>
      <c r="O210" s="43">
        <f t="shared" si="109"/>
        <v>1.0903898856840032E-2</v>
      </c>
      <c r="P210" s="43">
        <f t="shared" si="110"/>
        <v>1.3059096070860774E-3</v>
      </c>
      <c r="Q210" s="43">
        <v>195.36</v>
      </c>
      <c r="R210" s="43">
        <f t="shared" si="111"/>
        <v>5.1444923915512154E-4</v>
      </c>
      <c r="S210" s="43">
        <f t="shared" si="112"/>
        <v>6.2789189189189187E-2</v>
      </c>
      <c r="T210" s="43">
        <f t="shared" si="113"/>
        <v>0.12557837837837837</v>
      </c>
      <c r="U210" s="43">
        <f t="shared" si="114"/>
        <v>3.1711711711711707E-7</v>
      </c>
      <c r="V210" s="43">
        <f t="shared" si="115"/>
        <v>1.9933075933075932E-8</v>
      </c>
      <c r="W210" s="43">
        <f t="shared" si="116"/>
        <v>2.2651222651222648E-7</v>
      </c>
      <c r="X210" s="43">
        <f t="shared" si="117"/>
        <v>2.2651222651222649E-16</v>
      </c>
      <c r="Y210" s="205">
        <f t="shared" si="118"/>
        <v>7.9491803802861698</v>
      </c>
    </row>
    <row r="211" spans="1:25">
      <c r="A211" t="s">
        <v>884</v>
      </c>
      <c r="D211">
        <v>1</v>
      </c>
      <c r="E211">
        <v>1.2</v>
      </c>
      <c r="H211" s="1">
        <f t="shared" si="105"/>
        <v>0</v>
      </c>
      <c r="I211" s="43">
        <f t="shared" si="119"/>
        <v>6.4889229343629337E-7</v>
      </c>
      <c r="J211" s="1">
        <f t="shared" si="120"/>
        <v>0</v>
      </c>
      <c r="K211" s="1">
        <f t="shared" si="121"/>
        <v>0</v>
      </c>
      <c r="L211" s="43">
        <f t="shared" si="106"/>
        <v>2.3919691119691116E-6</v>
      </c>
      <c r="M211" s="43">
        <f t="shared" si="107"/>
        <v>1.1660849420849419E-6</v>
      </c>
      <c r="N211" s="43">
        <f t="shared" si="108"/>
        <v>1.5946460746460745E-8</v>
      </c>
      <c r="O211" s="43">
        <f t="shared" si="109"/>
        <v>1.0903898856840032E-2</v>
      </c>
      <c r="P211" s="43">
        <f t="shared" si="110"/>
        <v>1.3059096070860774E-3</v>
      </c>
      <c r="Q211" s="43">
        <v>196.36</v>
      </c>
      <c r="R211" s="43">
        <f t="shared" si="111"/>
        <v>5.1444923915512154E-4</v>
      </c>
      <c r="S211" s="43">
        <f t="shared" si="112"/>
        <v>6.2789189189189187E-2</v>
      </c>
      <c r="T211" s="43">
        <f t="shared" si="113"/>
        <v>0.12557837837837837</v>
      </c>
      <c r="U211" s="43">
        <f t="shared" si="114"/>
        <v>3.1711711711711707E-7</v>
      </c>
      <c r="V211" s="43">
        <f t="shared" si="115"/>
        <v>1.9933075933075932E-8</v>
      </c>
      <c r="W211" s="43">
        <f t="shared" si="116"/>
        <v>2.2651222651222648E-7</v>
      </c>
      <c r="X211" s="43">
        <f t="shared" si="117"/>
        <v>2.2651222651222649E-16</v>
      </c>
      <c r="Y211" s="205">
        <f t="shared" si="118"/>
        <v>7.9891803802861698</v>
      </c>
    </row>
    <row r="212" spans="1:25">
      <c r="A212" t="s">
        <v>885</v>
      </c>
      <c r="D212">
        <v>149</v>
      </c>
      <c r="E212">
        <v>1.2</v>
      </c>
      <c r="H212" s="1">
        <f t="shared" si="105"/>
        <v>0</v>
      </c>
      <c r="I212" s="43">
        <f t="shared" si="119"/>
        <v>9.6684951722007719E-5</v>
      </c>
      <c r="J212" s="1">
        <f t="shared" si="120"/>
        <v>0</v>
      </c>
      <c r="K212" s="1">
        <f t="shared" si="121"/>
        <v>0</v>
      </c>
      <c r="L212" s="43">
        <f t="shared" si="106"/>
        <v>3.5640339768339764E-4</v>
      </c>
      <c r="M212" s="43">
        <f t="shared" si="107"/>
        <v>1.7374665637065635E-4</v>
      </c>
      <c r="N212" s="43">
        <f t="shared" si="108"/>
        <v>2.376022651222651E-6</v>
      </c>
      <c r="O212" s="43">
        <f t="shared" si="109"/>
        <v>1.0903898856840032E-2</v>
      </c>
      <c r="P212" s="43">
        <f t="shared" si="110"/>
        <v>0.19458053145582554</v>
      </c>
      <c r="Q212" s="43">
        <v>197.36</v>
      </c>
      <c r="R212" s="43">
        <f t="shared" si="111"/>
        <v>7.6652936634113114E-2</v>
      </c>
      <c r="S212" s="43">
        <f t="shared" si="112"/>
        <v>9.3555891891891889</v>
      </c>
      <c r="T212" s="43">
        <f t="shared" si="113"/>
        <v>18.711178378378378</v>
      </c>
      <c r="U212" s="43">
        <f t="shared" si="114"/>
        <v>4.7250450450450442E-5</v>
      </c>
      <c r="V212" s="43">
        <f t="shared" si="115"/>
        <v>2.9700283140283137E-6</v>
      </c>
      <c r="W212" s="43">
        <f t="shared" si="116"/>
        <v>3.3750321750321746E-5</v>
      </c>
      <c r="X212" s="43">
        <f t="shared" si="117"/>
        <v>3.3750321750321743E-14</v>
      </c>
      <c r="Y212" s="205">
        <f t="shared" si="118"/>
        <v>27.621645715860396</v>
      </c>
    </row>
    <row r="213" spans="1:25">
      <c r="A213" t="s">
        <v>886</v>
      </c>
      <c r="D213">
        <v>10789</v>
      </c>
      <c r="E213">
        <v>1.2</v>
      </c>
      <c r="H213" s="1">
        <f t="shared" si="105"/>
        <v>0</v>
      </c>
      <c r="I213" s="43">
        <f t="shared" si="119"/>
        <v>7.0008989538841689E-3</v>
      </c>
      <c r="J213" s="1">
        <f t="shared" si="120"/>
        <v>0</v>
      </c>
      <c r="K213" s="1">
        <f t="shared" si="121"/>
        <v>0</v>
      </c>
      <c r="L213" s="43">
        <f t="shared" si="106"/>
        <v>2.5806954749034744E-2</v>
      </c>
      <c r="M213" s="43">
        <f t="shared" si="107"/>
        <v>1.2580890440154438E-2</v>
      </c>
      <c r="N213" s="43">
        <f t="shared" si="108"/>
        <v>1.7204636499356499E-4</v>
      </c>
      <c r="O213" s="43">
        <f t="shared" si="109"/>
        <v>1.0903898856840032E-2</v>
      </c>
      <c r="P213" s="43">
        <f t="shared" si="110"/>
        <v>14.089458750851689</v>
      </c>
      <c r="Q213" s="43">
        <v>198.36</v>
      </c>
      <c r="R213" s="43">
        <f t="shared" si="111"/>
        <v>5.550392841244606</v>
      </c>
      <c r="S213" s="43">
        <f t="shared" si="112"/>
        <v>677.43256216216218</v>
      </c>
      <c r="T213" s="43">
        <f t="shared" si="113"/>
        <v>1354.8651243243244</v>
      </c>
      <c r="U213" s="43">
        <f t="shared" si="114"/>
        <v>3.4213765765765763E-3</v>
      </c>
      <c r="V213" s="43">
        <f t="shared" si="115"/>
        <v>2.1505795624195622E-4</v>
      </c>
      <c r="W213" s="43">
        <f t="shared" si="116"/>
        <v>2.4438404118404117E-3</v>
      </c>
      <c r="X213" s="43">
        <f t="shared" si="117"/>
        <v>2.4438404118404116E-12</v>
      </c>
      <c r="Y213" s="205">
        <f t="shared" si="118"/>
        <v>1436.2010455166019</v>
      </c>
    </row>
    <row r="214" spans="1:25">
      <c r="A214" t="s">
        <v>887</v>
      </c>
      <c r="D214">
        <v>1</v>
      </c>
      <c r="E214">
        <v>1.2</v>
      </c>
      <c r="H214" s="1">
        <f t="shared" si="105"/>
        <v>0</v>
      </c>
      <c r="I214" s="43">
        <f t="shared" si="119"/>
        <v>6.4889229343629337E-7</v>
      </c>
      <c r="J214" s="1">
        <f t="shared" si="120"/>
        <v>0</v>
      </c>
      <c r="K214" s="1">
        <f t="shared" si="121"/>
        <v>0</v>
      </c>
      <c r="L214" s="43">
        <f t="shared" si="106"/>
        <v>2.3919691119691116E-6</v>
      </c>
      <c r="M214" s="43">
        <f t="shared" si="107"/>
        <v>1.1660849420849419E-6</v>
      </c>
      <c r="N214" s="43">
        <f t="shared" si="108"/>
        <v>1.5946460746460745E-8</v>
      </c>
      <c r="O214" s="43">
        <f t="shared" si="109"/>
        <v>1.0903898856840032E-2</v>
      </c>
      <c r="P214" s="43">
        <f t="shared" si="110"/>
        <v>1.3059096070860774E-3</v>
      </c>
      <c r="Q214" s="43">
        <v>199.36</v>
      </c>
      <c r="R214" s="43">
        <f t="shared" si="111"/>
        <v>5.1444923915512154E-4</v>
      </c>
      <c r="S214" s="43">
        <f t="shared" si="112"/>
        <v>6.2789189189189187E-2</v>
      </c>
      <c r="T214" s="43">
        <f t="shared" si="113"/>
        <v>0.12557837837837837</v>
      </c>
      <c r="U214" s="43">
        <f t="shared" si="114"/>
        <v>3.1711711711711707E-7</v>
      </c>
      <c r="V214" s="43">
        <f t="shared" si="115"/>
        <v>1.9933075933075932E-8</v>
      </c>
      <c r="W214" s="43">
        <f t="shared" si="116"/>
        <v>2.2651222651222648E-7</v>
      </c>
      <c r="X214" s="43">
        <f t="shared" si="117"/>
        <v>2.2651222651222649E-16</v>
      </c>
      <c r="Y214" s="205">
        <f t="shared" si="118"/>
        <v>8.1091803802861691</v>
      </c>
    </row>
    <row r="215" spans="1:25">
      <c r="A215" t="s">
        <v>888</v>
      </c>
      <c r="D215">
        <v>712</v>
      </c>
      <c r="E215">
        <v>1.2</v>
      </c>
      <c r="H215" s="1">
        <f t="shared" si="105"/>
        <v>0</v>
      </c>
      <c r="I215" s="43">
        <f t="shared" si="119"/>
        <v>4.6201131292664089E-4</v>
      </c>
      <c r="J215" s="1">
        <f t="shared" si="120"/>
        <v>0</v>
      </c>
      <c r="K215" s="1">
        <f t="shared" si="121"/>
        <v>0</v>
      </c>
      <c r="L215" s="43">
        <f t="shared" si="106"/>
        <v>1.7030820077220074E-3</v>
      </c>
      <c r="M215" s="43">
        <f t="shared" si="107"/>
        <v>8.3025247876447866E-4</v>
      </c>
      <c r="N215" s="43">
        <f t="shared" si="108"/>
        <v>1.135388005148005E-5</v>
      </c>
      <c r="O215" s="43">
        <f t="shared" si="109"/>
        <v>1.0903898856840032E-2</v>
      </c>
      <c r="P215" s="43">
        <f t="shared" si="110"/>
        <v>0.92980764024528717</v>
      </c>
      <c r="Q215" s="43">
        <v>200.36</v>
      </c>
      <c r="R215" s="43">
        <f t="shared" si="111"/>
        <v>0.36628785827844651</v>
      </c>
      <c r="S215" s="43">
        <f t="shared" si="112"/>
        <v>44.705902702702701</v>
      </c>
      <c r="T215" s="43">
        <f t="shared" si="113"/>
        <v>89.411805405405403</v>
      </c>
      <c r="U215" s="43">
        <f t="shared" si="114"/>
        <v>2.2578738738738736E-4</v>
      </c>
      <c r="V215" s="43">
        <f t="shared" si="115"/>
        <v>1.4192350064350063E-5</v>
      </c>
      <c r="W215" s="43">
        <f t="shared" si="116"/>
        <v>1.6127670527670525E-4</v>
      </c>
      <c r="X215" s="43">
        <f t="shared" si="117"/>
        <v>1.6127670527670527E-13</v>
      </c>
      <c r="Y215" s="205">
        <f t="shared" si="118"/>
        <v>102.27244290456505</v>
      </c>
    </row>
    <row r="216" spans="1:25">
      <c r="A216" t="s">
        <v>889</v>
      </c>
      <c r="D216">
        <v>703</v>
      </c>
      <c r="E216">
        <v>1.2</v>
      </c>
      <c r="H216" s="1">
        <f t="shared" si="105"/>
        <v>0</v>
      </c>
      <c r="I216" s="43">
        <f t="shared" si="119"/>
        <v>4.5617128228571423E-4</v>
      </c>
      <c r="J216" s="1">
        <f t="shared" si="120"/>
        <v>0</v>
      </c>
      <c r="K216" s="1">
        <f t="shared" si="121"/>
        <v>0</v>
      </c>
      <c r="L216" s="43">
        <f t="shared" si="106"/>
        <v>1.6815542857142854E-3</v>
      </c>
      <c r="M216" s="43">
        <f t="shared" si="107"/>
        <v>8.1975771428571419E-4</v>
      </c>
      <c r="N216" s="43">
        <f t="shared" si="108"/>
        <v>1.1210361904761904E-5</v>
      </c>
      <c r="O216" s="43">
        <f t="shared" si="109"/>
        <v>1.0903898856840032E-2</v>
      </c>
      <c r="P216" s="43">
        <f t="shared" si="110"/>
        <v>0.9180544537815124</v>
      </c>
      <c r="Q216" s="43">
        <v>201.36</v>
      </c>
      <c r="R216" s="43">
        <f t="shared" si="111"/>
        <v>0.36165781512605044</v>
      </c>
      <c r="S216" s="43">
        <f t="shared" si="112"/>
        <v>44.140799999999999</v>
      </c>
      <c r="T216" s="43">
        <f t="shared" si="113"/>
        <v>88.281599999999997</v>
      </c>
      <c r="U216" s="43">
        <f t="shared" si="114"/>
        <v>2.229333333333333E-4</v>
      </c>
      <c r="V216" s="43">
        <f t="shared" si="115"/>
        <v>1.401295238095238E-5</v>
      </c>
      <c r="W216" s="43">
        <f t="shared" si="116"/>
        <v>1.5923809523809521E-4</v>
      </c>
      <c r="X216" s="43">
        <f t="shared" si="117"/>
        <v>1.5923809523809522E-13</v>
      </c>
      <c r="Y216" s="205">
        <f t="shared" si="118"/>
        <v>101.12100920172607</v>
      </c>
    </row>
    <row r="217" spans="1:25">
      <c r="A217" t="s">
        <v>890</v>
      </c>
      <c r="D217">
        <v>456</v>
      </c>
      <c r="E217">
        <v>1.2</v>
      </c>
      <c r="H217" s="1">
        <f t="shared" si="105"/>
        <v>0</v>
      </c>
      <c r="I217" s="43">
        <f t="shared" si="119"/>
        <v>2.9589488580694976E-4</v>
      </c>
      <c r="J217" s="1">
        <f t="shared" si="120"/>
        <v>0</v>
      </c>
      <c r="K217" s="1">
        <f t="shared" si="121"/>
        <v>0</v>
      </c>
      <c r="L217" s="43">
        <f t="shared" si="106"/>
        <v>1.0907379150579149E-3</v>
      </c>
      <c r="M217" s="43">
        <f t="shared" si="107"/>
        <v>5.3173473359073348E-4</v>
      </c>
      <c r="N217" s="43">
        <f t="shared" si="108"/>
        <v>7.2715861003860996E-6</v>
      </c>
      <c r="O217" s="43">
        <f t="shared" si="109"/>
        <v>1.0903898856840032E-2</v>
      </c>
      <c r="P217" s="43">
        <f t="shared" si="110"/>
        <v>0.59549478083125129</v>
      </c>
      <c r="Q217" s="43">
        <v>202.36</v>
      </c>
      <c r="R217" s="43">
        <f t="shared" si="111"/>
        <v>0.23458885305473542</v>
      </c>
      <c r="S217" s="43">
        <f t="shared" si="112"/>
        <v>28.631870270270269</v>
      </c>
      <c r="T217" s="43">
        <f t="shared" si="113"/>
        <v>57.263740540540539</v>
      </c>
      <c r="U217" s="43">
        <f t="shared" si="114"/>
        <v>1.4460540540540539E-4</v>
      </c>
      <c r="V217" s="43">
        <f t="shared" si="115"/>
        <v>9.0894826254826241E-6</v>
      </c>
      <c r="W217" s="43">
        <f t="shared" si="116"/>
        <v>1.0328957528957528E-4</v>
      </c>
      <c r="X217" s="43">
        <f t="shared" si="117"/>
        <v>1.0328957528957528E-13</v>
      </c>
      <c r="Y217" s="205">
        <f t="shared" si="118"/>
        <v>68.462773134923125</v>
      </c>
    </row>
    <row r="218" spans="1:25">
      <c r="A218" t="s">
        <v>891</v>
      </c>
      <c r="D218">
        <v>475</v>
      </c>
      <c r="E218">
        <v>1.2</v>
      </c>
      <c r="H218" s="1">
        <f t="shared" si="105"/>
        <v>0</v>
      </c>
      <c r="I218" s="43">
        <f t="shared" si="119"/>
        <v>3.0822383938223933E-4</v>
      </c>
      <c r="J218" s="1">
        <f t="shared" si="120"/>
        <v>0</v>
      </c>
      <c r="K218" s="1">
        <f t="shared" si="121"/>
        <v>0</v>
      </c>
      <c r="L218" s="43">
        <f t="shared" ref="L218:L249" si="122">CO2_malnutrition_charfact*D218</f>
        <v>1.1361853281853279E-3</v>
      </c>
      <c r="M218" s="43">
        <f t="shared" ref="M218:M249" si="123">CO2_workingcapacity_charfact*D218</f>
        <v>5.5389034749034739E-4</v>
      </c>
      <c r="N218" s="43">
        <f t="shared" ref="N218:N249" si="124">CO2_diarrhea_charfact*D218</f>
        <v>7.5745688545688539E-6</v>
      </c>
      <c r="O218" s="43">
        <f t="shared" ref="O218:O249" si="125">CO2_crop_charfact</f>
        <v>1.0903898856840032E-2</v>
      </c>
      <c r="P218" s="43">
        <f t="shared" ref="P218:P249" si="126">CO2_fruitandveg_charfact*D218</f>
        <v>0.62030706336588681</v>
      </c>
      <c r="Q218" s="43">
        <v>203.36</v>
      </c>
      <c r="R218" s="43">
        <f t="shared" ref="R218:R249" si="127">CO2_meatandfish_charfact*D218</f>
        <v>0.24436338859868273</v>
      </c>
      <c r="S218" s="43">
        <f t="shared" ref="S218:S249" si="128">CO2_drinkingwater_charfact*D218</f>
        <v>29.824864864864864</v>
      </c>
      <c r="T218" s="43">
        <f t="shared" ref="T218:T249" si="129">CO2_irrigationwater_charfact*D218</f>
        <v>59.649729729729728</v>
      </c>
      <c r="U218" s="43">
        <f t="shared" ref="U218:U249" si="130">CO2_energyaccess_charfact*D218</f>
        <v>1.506306306306306E-4</v>
      </c>
      <c r="V218" s="43">
        <f t="shared" ref="V218:V249" si="131">CO2_housing_charfact*D218</f>
        <v>9.4682110682110672E-6</v>
      </c>
      <c r="W218" s="43">
        <f t="shared" ref="W218:W249" si="132">CO2_separations_charfact*D218</f>
        <v>1.0759330759330758E-4</v>
      </c>
      <c r="X218" s="43">
        <f t="shared" ref="X218:X249" si="133">CO2_NEX_charfact*D218</f>
        <v>1.0759330759330758E-13</v>
      </c>
      <c r="Y218" s="205">
        <f t="shared" ref="Y218:Y249" si="134">(H218+I218)*YOLLvalue+J218*skincancervalue+K218*Lowvisionvalue+L218*malnutrition+M218*working_capacity+N218*diarrhea+O218*cropvalue+P218*Fruitandveg_value+Q218*woodvalue+R218*fishandmeatvalue+S218*drinkingwatervalue+T218*irrigationwatervalue+U218*energy_access+V218*housingvalue+W218*migrationvalue+X218*speciesvalue</f>
        <v>71.018022063138744</v>
      </c>
    </row>
    <row r="219" spans="1:25">
      <c r="A219" t="s">
        <v>892</v>
      </c>
      <c r="D219">
        <v>41</v>
      </c>
      <c r="E219">
        <v>1.2</v>
      </c>
      <c r="H219" s="1">
        <f t="shared" si="105"/>
        <v>0</v>
      </c>
      <c r="I219" s="43">
        <f t="shared" si="119"/>
        <v>2.6604584030888028E-5</v>
      </c>
      <c r="J219" s="1">
        <f t="shared" si="120"/>
        <v>0</v>
      </c>
      <c r="K219" s="1">
        <f t="shared" si="121"/>
        <v>0</v>
      </c>
      <c r="L219" s="43">
        <f t="shared" si="122"/>
        <v>9.8070733590733571E-5</v>
      </c>
      <c r="M219" s="43">
        <f t="shared" si="123"/>
        <v>4.7809482625482618E-5</v>
      </c>
      <c r="N219" s="43">
        <f t="shared" si="124"/>
        <v>6.5380489060489052E-7</v>
      </c>
      <c r="O219" s="43">
        <f t="shared" si="125"/>
        <v>1.0903898856840032E-2</v>
      </c>
      <c r="P219" s="43">
        <f t="shared" si="126"/>
        <v>5.3542293890529176E-2</v>
      </c>
      <c r="Q219" s="43">
        <v>204.36</v>
      </c>
      <c r="R219" s="43">
        <f t="shared" si="127"/>
        <v>2.1092418805359982E-2</v>
      </c>
      <c r="S219" s="43">
        <f t="shared" si="128"/>
        <v>2.5743567567567567</v>
      </c>
      <c r="T219" s="43">
        <f t="shared" si="129"/>
        <v>5.1487135135135134</v>
      </c>
      <c r="U219" s="43">
        <f t="shared" si="130"/>
        <v>1.30018018018018E-5</v>
      </c>
      <c r="V219" s="43">
        <f t="shared" si="131"/>
        <v>8.1725611325611315E-7</v>
      </c>
      <c r="W219" s="43">
        <f t="shared" si="132"/>
        <v>9.2870012870012853E-6</v>
      </c>
      <c r="X219" s="43">
        <f t="shared" si="133"/>
        <v>9.2870012870012867E-15</v>
      </c>
      <c r="Y219" s="205">
        <f t="shared" si="134"/>
        <v>13.604441281792717</v>
      </c>
    </row>
    <row r="220" spans="1:25">
      <c r="A220" t="s">
        <v>893</v>
      </c>
      <c r="D220">
        <v>21</v>
      </c>
      <c r="E220">
        <v>1.2</v>
      </c>
      <c r="H220" s="1">
        <f t="shared" si="105"/>
        <v>0</v>
      </c>
      <c r="I220" s="43">
        <f t="shared" si="119"/>
        <v>1.3626738162162161E-5</v>
      </c>
      <c r="J220" s="1">
        <f t="shared" si="120"/>
        <v>0</v>
      </c>
      <c r="K220" s="1">
        <f t="shared" si="121"/>
        <v>0</v>
      </c>
      <c r="L220" s="43">
        <f t="shared" si="122"/>
        <v>5.0231351351351341E-5</v>
      </c>
      <c r="M220" s="43">
        <f t="shared" si="123"/>
        <v>2.448778378378378E-5</v>
      </c>
      <c r="N220" s="43">
        <f t="shared" si="124"/>
        <v>3.3487567567567567E-7</v>
      </c>
      <c r="O220" s="43">
        <f t="shared" si="125"/>
        <v>1.0903898856840032E-2</v>
      </c>
      <c r="P220" s="43">
        <f t="shared" si="126"/>
        <v>2.7424101748807626E-2</v>
      </c>
      <c r="Q220" s="43">
        <v>205.36</v>
      </c>
      <c r="R220" s="43">
        <f t="shared" si="127"/>
        <v>1.0803434022257552E-2</v>
      </c>
      <c r="S220" s="43">
        <f t="shared" si="128"/>
        <v>1.3185729729729729</v>
      </c>
      <c r="T220" s="43">
        <f t="shared" si="129"/>
        <v>2.6371459459459459</v>
      </c>
      <c r="U220" s="43">
        <f t="shared" si="130"/>
        <v>6.6594594594594586E-6</v>
      </c>
      <c r="V220" s="43">
        <f t="shared" si="131"/>
        <v>4.1859459459459456E-7</v>
      </c>
      <c r="W220" s="43">
        <f t="shared" si="132"/>
        <v>4.7567567567567564E-6</v>
      </c>
      <c r="X220" s="43">
        <f t="shared" si="133"/>
        <v>4.7567567567567564E-15</v>
      </c>
      <c r="Y220" s="205">
        <f t="shared" si="134"/>
        <v>10.996810831039443</v>
      </c>
    </row>
    <row r="221" spans="1:25">
      <c r="A221" t="s">
        <v>894</v>
      </c>
      <c r="D221">
        <v>569</v>
      </c>
      <c r="E221">
        <v>1.2</v>
      </c>
      <c r="H221" s="1">
        <f t="shared" si="105"/>
        <v>0</v>
      </c>
      <c r="I221" s="43">
        <f t="shared" si="119"/>
        <v>3.6921971496525091E-4</v>
      </c>
      <c r="J221" s="1">
        <f t="shared" si="120"/>
        <v>0</v>
      </c>
      <c r="K221" s="1">
        <f t="shared" si="121"/>
        <v>0</v>
      </c>
      <c r="L221" s="43">
        <f t="shared" si="122"/>
        <v>1.3610304247104244E-3</v>
      </c>
      <c r="M221" s="43">
        <f t="shared" si="123"/>
        <v>6.635023320463319E-4</v>
      </c>
      <c r="N221" s="43">
        <f t="shared" si="124"/>
        <v>9.0735361647361639E-6</v>
      </c>
      <c r="O221" s="43">
        <f t="shared" si="125"/>
        <v>1.0903898856840032E-2</v>
      </c>
      <c r="P221" s="43">
        <f t="shared" si="126"/>
        <v>0.7430625664319781</v>
      </c>
      <c r="Q221" s="43">
        <v>206.36</v>
      </c>
      <c r="R221" s="43">
        <f t="shared" si="127"/>
        <v>0.29272161707926414</v>
      </c>
      <c r="S221" s="43">
        <f t="shared" si="128"/>
        <v>35.727048648648648</v>
      </c>
      <c r="T221" s="43">
        <f t="shared" si="129"/>
        <v>71.454097297297295</v>
      </c>
      <c r="U221" s="43">
        <f t="shared" si="130"/>
        <v>1.8043963963963961E-4</v>
      </c>
      <c r="V221" s="43">
        <f t="shared" si="131"/>
        <v>1.1341920205920205E-5</v>
      </c>
      <c r="W221" s="43">
        <f t="shared" si="132"/>
        <v>1.2888545688545687E-4</v>
      </c>
      <c r="X221" s="43">
        <f t="shared" si="133"/>
        <v>1.2888545688545686E-13</v>
      </c>
      <c r="Y221" s="205">
        <f t="shared" si="134"/>
        <v>83.581885181679127</v>
      </c>
    </row>
    <row r="222" spans="1:25">
      <c r="A222" t="s">
        <v>895</v>
      </c>
      <c r="D222">
        <v>403</v>
      </c>
      <c r="E222">
        <v>1.2</v>
      </c>
      <c r="H222" s="1">
        <f t="shared" si="105"/>
        <v>0</v>
      </c>
      <c r="I222" s="43">
        <f t="shared" si="119"/>
        <v>2.6150359425482623E-4</v>
      </c>
      <c r="J222" s="1">
        <f t="shared" si="120"/>
        <v>0</v>
      </c>
      <c r="K222" s="1">
        <f t="shared" si="121"/>
        <v>0</v>
      </c>
      <c r="L222" s="43">
        <f t="shared" si="122"/>
        <v>9.6396355212355193E-4</v>
      </c>
      <c r="M222" s="43">
        <f t="shared" si="123"/>
        <v>4.6993223166023158E-4</v>
      </c>
      <c r="N222" s="43">
        <f t="shared" si="124"/>
        <v>6.4264236808236806E-6</v>
      </c>
      <c r="O222" s="43">
        <f t="shared" si="125"/>
        <v>1.0903898856840032E-2</v>
      </c>
      <c r="P222" s="43">
        <f t="shared" si="126"/>
        <v>0.52628157165568923</v>
      </c>
      <c r="Q222" s="43">
        <v>207.36</v>
      </c>
      <c r="R222" s="43">
        <f t="shared" si="127"/>
        <v>0.20732304337951399</v>
      </c>
      <c r="S222" s="43">
        <f t="shared" si="128"/>
        <v>25.304043243243243</v>
      </c>
      <c r="T222" s="43">
        <f t="shared" si="129"/>
        <v>50.608086486486485</v>
      </c>
      <c r="U222" s="43">
        <f t="shared" si="130"/>
        <v>1.2779819819819818E-4</v>
      </c>
      <c r="V222" s="43">
        <f t="shared" si="131"/>
        <v>8.0330296010296005E-6</v>
      </c>
      <c r="W222" s="43">
        <f t="shared" si="132"/>
        <v>9.128442728442727E-5</v>
      </c>
      <c r="X222" s="43">
        <f t="shared" si="133"/>
        <v>9.1284427284427278E-14</v>
      </c>
      <c r="Y222" s="205">
        <f t="shared" si="134"/>
        <v>61.646552440426966</v>
      </c>
    </row>
    <row r="223" spans="1:25">
      <c r="A223" t="s">
        <v>896</v>
      </c>
      <c r="D223">
        <v>2</v>
      </c>
      <c r="E223">
        <v>1.2</v>
      </c>
      <c r="H223" s="1">
        <f t="shared" si="105"/>
        <v>0</v>
      </c>
      <c r="I223" s="43">
        <f t="shared" si="119"/>
        <v>1.2977845868725867E-6</v>
      </c>
      <c r="J223" s="1">
        <f t="shared" si="120"/>
        <v>0</v>
      </c>
      <c r="K223" s="1">
        <f t="shared" si="121"/>
        <v>0</v>
      </c>
      <c r="L223" s="43">
        <f t="shared" si="122"/>
        <v>4.7839382239382231E-6</v>
      </c>
      <c r="M223" s="43">
        <f t="shared" si="123"/>
        <v>2.3321698841698838E-6</v>
      </c>
      <c r="N223" s="43">
        <f t="shared" si="124"/>
        <v>3.1892921492921491E-8</v>
      </c>
      <c r="O223" s="43">
        <f t="shared" si="125"/>
        <v>1.0903898856840032E-2</v>
      </c>
      <c r="P223" s="43">
        <f t="shared" si="126"/>
        <v>2.6118192141721549E-3</v>
      </c>
      <c r="Q223" s="43">
        <v>208.36</v>
      </c>
      <c r="R223" s="43">
        <f t="shared" si="127"/>
        <v>1.0288984783102431E-3</v>
      </c>
      <c r="S223" s="43">
        <f t="shared" si="128"/>
        <v>0.12557837837837837</v>
      </c>
      <c r="T223" s="43">
        <f t="shared" si="129"/>
        <v>0.25115675675675675</v>
      </c>
      <c r="U223" s="43">
        <f t="shared" si="130"/>
        <v>6.3423423423423414E-7</v>
      </c>
      <c r="V223" s="43">
        <f t="shared" si="131"/>
        <v>3.9866151866151864E-8</v>
      </c>
      <c r="W223" s="43">
        <f t="shared" si="132"/>
        <v>4.5302445302445296E-7</v>
      </c>
      <c r="X223" s="43">
        <f t="shared" si="133"/>
        <v>4.5302445302445297E-16</v>
      </c>
      <c r="Y223" s="205">
        <f t="shared" si="134"/>
        <v>8.6015619028238337</v>
      </c>
    </row>
    <row r="224" spans="1:25">
      <c r="A224" t="s">
        <v>897</v>
      </c>
      <c r="D224">
        <v>2</v>
      </c>
      <c r="E224">
        <v>1.2</v>
      </c>
      <c r="H224" s="1">
        <f t="shared" si="105"/>
        <v>0</v>
      </c>
      <c r="I224" s="43">
        <f t="shared" si="119"/>
        <v>1.2977845868725867E-6</v>
      </c>
      <c r="J224" s="1">
        <f t="shared" si="120"/>
        <v>0</v>
      </c>
      <c r="K224" s="1">
        <f t="shared" si="121"/>
        <v>0</v>
      </c>
      <c r="L224" s="43">
        <f t="shared" si="122"/>
        <v>4.7839382239382231E-6</v>
      </c>
      <c r="M224" s="43">
        <f t="shared" si="123"/>
        <v>2.3321698841698838E-6</v>
      </c>
      <c r="N224" s="43">
        <f t="shared" si="124"/>
        <v>3.1892921492921491E-8</v>
      </c>
      <c r="O224" s="43">
        <f t="shared" si="125"/>
        <v>1.0903898856840032E-2</v>
      </c>
      <c r="P224" s="43">
        <f t="shared" si="126"/>
        <v>2.6118192141721549E-3</v>
      </c>
      <c r="Q224" s="43">
        <v>209.36</v>
      </c>
      <c r="R224" s="43">
        <f t="shared" si="127"/>
        <v>1.0288984783102431E-3</v>
      </c>
      <c r="S224" s="43">
        <f t="shared" si="128"/>
        <v>0.12557837837837837</v>
      </c>
      <c r="T224" s="43">
        <f t="shared" si="129"/>
        <v>0.25115675675675675</v>
      </c>
      <c r="U224" s="43">
        <f t="shared" si="130"/>
        <v>6.3423423423423414E-7</v>
      </c>
      <c r="V224" s="43">
        <f t="shared" si="131"/>
        <v>3.9866151866151864E-8</v>
      </c>
      <c r="W224" s="43">
        <f t="shared" si="132"/>
        <v>4.5302445302445296E-7</v>
      </c>
      <c r="X224" s="43">
        <f t="shared" si="133"/>
        <v>4.5302445302445297E-16</v>
      </c>
      <c r="Y224" s="205">
        <f t="shared" si="134"/>
        <v>8.6415619028238346</v>
      </c>
    </row>
    <row r="225" spans="1:25">
      <c r="A225" t="s">
        <v>898</v>
      </c>
      <c r="D225">
        <v>3</v>
      </c>
      <c r="E225">
        <v>1.2</v>
      </c>
      <c r="H225" s="1">
        <f t="shared" si="105"/>
        <v>0</v>
      </c>
      <c r="I225" s="43">
        <f t="shared" si="119"/>
        <v>1.9466768803088802E-6</v>
      </c>
      <c r="J225" s="1">
        <f t="shared" si="120"/>
        <v>0</v>
      </c>
      <c r="K225" s="1">
        <f t="shared" si="121"/>
        <v>0</v>
      </c>
      <c r="L225" s="43">
        <f t="shared" si="122"/>
        <v>7.1759073359073351E-6</v>
      </c>
      <c r="M225" s="43">
        <f t="shared" si="123"/>
        <v>3.4982548262548259E-6</v>
      </c>
      <c r="N225" s="43">
        <f t="shared" si="124"/>
        <v>4.7839382239382236E-8</v>
      </c>
      <c r="O225" s="43">
        <f t="shared" si="125"/>
        <v>1.0903898856840032E-2</v>
      </c>
      <c r="P225" s="43">
        <f t="shared" si="126"/>
        <v>3.9177288212582321E-3</v>
      </c>
      <c r="Q225" s="43">
        <v>210.36</v>
      </c>
      <c r="R225" s="43">
        <f t="shared" si="127"/>
        <v>1.5433477174653645E-3</v>
      </c>
      <c r="S225" s="43">
        <f t="shared" si="128"/>
        <v>0.18836756756756756</v>
      </c>
      <c r="T225" s="43">
        <f t="shared" si="129"/>
        <v>0.37673513513513512</v>
      </c>
      <c r="U225" s="43">
        <f t="shared" si="130"/>
        <v>9.5135135135135121E-7</v>
      </c>
      <c r="V225" s="43">
        <f t="shared" si="131"/>
        <v>5.9799227799227792E-8</v>
      </c>
      <c r="W225" s="43">
        <f t="shared" si="132"/>
        <v>6.7953667953667942E-7</v>
      </c>
      <c r="X225" s="43">
        <f t="shared" si="133"/>
        <v>6.7953667953667951E-16</v>
      </c>
      <c r="Y225" s="205">
        <f t="shared" si="134"/>
        <v>8.8139434253614937</v>
      </c>
    </row>
    <row r="226" spans="1:25">
      <c r="A226" t="s">
        <v>899</v>
      </c>
      <c r="D226">
        <v>3</v>
      </c>
      <c r="E226">
        <v>1.2</v>
      </c>
      <c r="H226" s="1">
        <f t="shared" si="105"/>
        <v>0</v>
      </c>
      <c r="I226" s="43">
        <f t="shared" si="119"/>
        <v>1.9466768803088802E-6</v>
      </c>
      <c r="J226" s="1">
        <f t="shared" si="120"/>
        <v>0</v>
      </c>
      <c r="K226" s="1">
        <f t="shared" si="121"/>
        <v>0</v>
      </c>
      <c r="L226" s="43">
        <f t="shared" si="122"/>
        <v>7.1759073359073351E-6</v>
      </c>
      <c r="M226" s="43">
        <f t="shared" si="123"/>
        <v>3.4982548262548259E-6</v>
      </c>
      <c r="N226" s="43">
        <f t="shared" si="124"/>
        <v>4.7839382239382236E-8</v>
      </c>
      <c r="O226" s="43">
        <f t="shared" si="125"/>
        <v>1.0903898856840032E-2</v>
      </c>
      <c r="P226" s="43">
        <f t="shared" si="126"/>
        <v>3.9177288212582321E-3</v>
      </c>
      <c r="Q226" s="43">
        <v>211.36</v>
      </c>
      <c r="R226" s="43">
        <f t="shared" si="127"/>
        <v>1.5433477174653645E-3</v>
      </c>
      <c r="S226" s="43">
        <f t="shared" si="128"/>
        <v>0.18836756756756756</v>
      </c>
      <c r="T226" s="43">
        <f t="shared" si="129"/>
        <v>0.37673513513513512</v>
      </c>
      <c r="U226" s="43">
        <f t="shared" si="130"/>
        <v>9.5135135135135121E-7</v>
      </c>
      <c r="V226" s="43">
        <f t="shared" si="131"/>
        <v>5.9799227799227792E-8</v>
      </c>
      <c r="W226" s="43">
        <f t="shared" si="132"/>
        <v>6.7953667953667942E-7</v>
      </c>
      <c r="X226" s="43">
        <f t="shared" si="133"/>
        <v>6.7953667953667951E-16</v>
      </c>
      <c r="Y226" s="205">
        <f t="shared" si="134"/>
        <v>8.8539434253614946</v>
      </c>
    </row>
    <row r="227" spans="1:25">
      <c r="A227" t="s">
        <v>900</v>
      </c>
      <c r="D227">
        <v>116</v>
      </c>
      <c r="E227">
        <v>1.2</v>
      </c>
      <c r="H227" s="1">
        <f t="shared" si="105"/>
        <v>0</v>
      </c>
      <c r="I227" s="43">
        <f t="shared" si="119"/>
        <v>7.5271506038610027E-5</v>
      </c>
      <c r="J227" s="1">
        <f t="shared" si="120"/>
        <v>0</v>
      </c>
      <c r="K227" s="1">
        <f t="shared" si="121"/>
        <v>0</v>
      </c>
      <c r="L227" s="43">
        <f t="shared" si="122"/>
        <v>2.7746841698841695E-4</v>
      </c>
      <c r="M227" s="43">
        <f t="shared" si="123"/>
        <v>1.3526585328185327E-4</v>
      </c>
      <c r="N227" s="43">
        <f t="shared" si="124"/>
        <v>1.8497894465894465E-6</v>
      </c>
      <c r="O227" s="43">
        <f t="shared" si="125"/>
        <v>1.0903898856840032E-2</v>
      </c>
      <c r="P227" s="43">
        <f t="shared" si="126"/>
        <v>0.15148551442198499</v>
      </c>
      <c r="Q227" s="43">
        <v>212.36</v>
      </c>
      <c r="R227" s="43">
        <f t="shared" si="127"/>
        <v>5.9676111741994095E-2</v>
      </c>
      <c r="S227" s="43">
        <f t="shared" si="128"/>
        <v>7.2835459459459457</v>
      </c>
      <c r="T227" s="43">
        <f t="shared" si="129"/>
        <v>14.567091891891891</v>
      </c>
      <c r="U227" s="43">
        <f t="shared" si="130"/>
        <v>3.6785585585585577E-5</v>
      </c>
      <c r="V227" s="43">
        <f t="shared" si="131"/>
        <v>2.3122368082368082E-6</v>
      </c>
      <c r="W227" s="43">
        <f t="shared" si="132"/>
        <v>2.627541827541827E-5</v>
      </c>
      <c r="X227" s="43">
        <f t="shared" si="133"/>
        <v>2.6275418275418271E-14</v>
      </c>
      <c r="Y227" s="205">
        <f t="shared" si="134"/>
        <v>23.853055472117497</v>
      </c>
    </row>
    <row r="228" spans="1:25">
      <c r="A228" t="s">
        <v>901</v>
      </c>
      <c r="D228">
        <v>33</v>
      </c>
      <c r="E228">
        <v>1.2</v>
      </c>
      <c r="H228" s="1">
        <f t="shared" si="105"/>
        <v>0</v>
      </c>
      <c r="I228" s="43">
        <f t="shared" si="119"/>
        <v>2.1413445683397682E-5</v>
      </c>
      <c r="J228" s="1">
        <f t="shared" si="120"/>
        <v>0</v>
      </c>
      <c r="K228" s="1">
        <f t="shared" si="121"/>
        <v>0</v>
      </c>
      <c r="L228" s="43">
        <f t="shared" si="122"/>
        <v>7.8934980694980681E-5</v>
      </c>
      <c r="M228" s="43">
        <f t="shared" si="123"/>
        <v>3.8480803088803084E-5</v>
      </c>
      <c r="N228" s="43">
        <f t="shared" si="124"/>
        <v>5.2623320463320456E-7</v>
      </c>
      <c r="O228" s="43">
        <f t="shared" si="125"/>
        <v>1.0903898856840032E-2</v>
      </c>
      <c r="P228" s="43">
        <f t="shared" si="126"/>
        <v>4.3095017033840555E-2</v>
      </c>
      <c r="Q228" s="43">
        <v>213.36</v>
      </c>
      <c r="R228" s="43">
        <f t="shared" si="127"/>
        <v>1.6976824892119012E-2</v>
      </c>
      <c r="S228" s="43">
        <f t="shared" si="128"/>
        <v>2.0720432432432432</v>
      </c>
      <c r="T228" s="43">
        <f t="shared" si="129"/>
        <v>4.1440864864864864</v>
      </c>
      <c r="U228" s="43">
        <f t="shared" si="130"/>
        <v>1.0464864864864863E-5</v>
      </c>
      <c r="V228" s="43">
        <f t="shared" si="131"/>
        <v>6.5779150579150578E-7</v>
      </c>
      <c r="W228" s="43">
        <f t="shared" si="132"/>
        <v>7.474903474903474E-6</v>
      </c>
      <c r="X228" s="43">
        <f t="shared" si="133"/>
        <v>7.4749034749034736E-15</v>
      </c>
      <c r="Y228" s="205">
        <f t="shared" si="134"/>
        <v>12.905389101491407</v>
      </c>
    </row>
    <row r="229" spans="1:25">
      <c r="A229" t="s">
        <v>902</v>
      </c>
      <c r="D229">
        <v>38</v>
      </c>
      <c r="E229">
        <v>1.2</v>
      </c>
      <c r="H229" s="1">
        <f t="shared" si="105"/>
        <v>0</v>
      </c>
      <c r="I229" s="43">
        <f t="shared" si="119"/>
        <v>2.4657907150579147E-5</v>
      </c>
      <c r="J229" s="1">
        <f t="shared" si="120"/>
        <v>0</v>
      </c>
      <c r="K229" s="1">
        <f t="shared" si="121"/>
        <v>0</v>
      </c>
      <c r="L229" s="43">
        <f t="shared" si="122"/>
        <v>9.0894826254826237E-5</v>
      </c>
      <c r="M229" s="43">
        <f t="shared" si="123"/>
        <v>4.4311227799227794E-5</v>
      </c>
      <c r="N229" s="43">
        <f t="shared" si="124"/>
        <v>6.059655083655083E-7</v>
      </c>
      <c r="O229" s="43">
        <f t="shared" si="125"/>
        <v>1.0903898856840032E-2</v>
      </c>
      <c r="P229" s="43">
        <f t="shared" si="126"/>
        <v>4.9624565069270946E-2</v>
      </c>
      <c r="Q229" s="43">
        <v>214.36</v>
      </c>
      <c r="R229" s="43">
        <f t="shared" si="127"/>
        <v>1.954907108789462E-2</v>
      </c>
      <c r="S229" s="43">
        <f t="shared" si="128"/>
        <v>2.3859891891891891</v>
      </c>
      <c r="T229" s="43">
        <f t="shared" si="129"/>
        <v>4.7719783783783782</v>
      </c>
      <c r="U229" s="43">
        <f t="shared" si="130"/>
        <v>1.2050450450450448E-5</v>
      </c>
      <c r="V229" s="43">
        <f t="shared" si="131"/>
        <v>7.5745688545688537E-7</v>
      </c>
      <c r="W229" s="43">
        <f t="shared" si="132"/>
        <v>8.6074646074646063E-6</v>
      </c>
      <c r="X229" s="43">
        <f t="shared" si="133"/>
        <v>8.607464607464607E-15</v>
      </c>
      <c r="Y229" s="205">
        <f t="shared" si="134"/>
        <v>13.607296714179725</v>
      </c>
    </row>
    <row r="230" spans="1:25">
      <c r="A230" t="s">
        <v>903</v>
      </c>
      <c r="D230">
        <v>2</v>
      </c>
      <c r="E230">
        <v>1.2</v>
      </c>
      <c r="H230" s="1">
        <f t="shared" si="105"/>
        <v>0</v>
      </c>
      <c r="I230" s="43">
        <f t="shared" si="119"/>
        <v>1.2977845868725867E-6</v>
      </c>
      <c r="J230" s="1">
        <f t="shared" si="120"/>
        <v>0</v>
      </c>
      <c r="K230" s="1">
        <f t="shared" si="121"/>
        <v>0</v>
      </c>
      <c r="L230" s="43">
        <f t="shared" si="122"/>
        <v>4.7839382239382231E-6</v>
      </c>
      <c r="M230" s="43">
        <f t="shared" si="123"/>
        <v>2.3321698841698838E-6</v>
      </c>
      <c r="N230" s="43">
        <f t="shared" si="124"/>
        <v>3.1892921492921491E-8</v>
      </c>
      <c r="O230" s="43">
        <f t="shared" si="125"/>
        <v>1.0903898856840032E-2</v>
      </c>
      <c r="P230" s="43">
        <f t="shared" si="126"/>
        <v>2.6118192141721549E-3</v>
      </c>
      <c r="Q230" s="43">
        <v>215.36</v>
      </c>
      <c r="R230" s="43">
        <f t="shared" si="127"/>
        <v>1.0288984783102431E-3</v>
      </c>
      <c r="S230" s="43">
        <f t="shared" si="128"/>
        <v>0.12557837837837837</v>
      </c>
      <c r="T230" s="43">
        <f t="shared" si="129"/>
        <v>0.25115675675675675</v>
      </c>
      <c r="U230" s="43">
        <f t="shared" si="130"/>
        <v>6.3423423423423414E-7</v>
      </c>
      <c r="V230" s="43">
        <f t="shared" si="131"/>
        <v>3.9866151866151864E-8</v>
      </c>
      <c r="W230" s="43">
        <f t="shared" si="132"/>
        <v>4.5302445302445296E-7</v>
      </c>
      <c r="X230" s="43">
        <f t="shared" si="133"/>
        <v>4.5302445302445297E-16</v>
      </c>
      <c r="Y230" s="205">
        <f t="shared" si="134"/>
        <v>8.8815619028238348</v>
      </c>
    </row>
    <row r="231" spans="1:25">
      <c r="A231" t="s">
        <v>904</v>
      </c>
      <c r="D231">
        <v>8</v>
      </c>
      <c r="E231">
        <v>1.2</v>
      </c>
      <c r="H231" s="1">
        <f t="shared" si="105"/>
        <v>0</v>
      </c>
      <c r="I231" s="43">
        <f t="shared" si="119"/>
        <v>5.191138347490347E-6</v>
      </c>
      <c r="J231" s="1">
        <f t="shared" si="120"/>
        <v>0</v>
      </c>
      <c r="K231" s="1">
        <f t="shared" si="121"/>
        <v>0</v>
      </c>
      <c r="L231" s="43">
        <f t="shared" si="122"/>
        <v>1.9135752895752893E-5</v>
      </c>
      <c r="M231" s="43">
        <f t="shared" si="123"/>
        <v>9.3286795366795352E-6</v>
      </c>
      <c r="N231" s="43">
        <f t="shared" si="124"/>
        <v>1.2757168597168596E-7</v>
      </c>
      <c r="O231" s="43">
        <f t="shared" si="125"/>
        <v>1.0903898856840032E-2</v>
      </c>
      <c r="P231" s="43">
        <f t="shared" si="126"/>
        <v>1.0447276856688619E-2</v>
      </c>
      <c r="Q231" s="43">
        <v>216.36</v>
      </c>
      <c r="R231" s="43">
        <f t="shared" si="127"/>
        <v>4.1155939132409723E-3</v>
      </c>
      <c r="S231" s="43">
        <f t="shared" si="128"/>
        <v>0.5023135135135135</v>
      </c>
      <c r="T231" s="43">
        <f t="shared" si="129"/>
        <v>1.004627027027027</v>
      </c>
      <c r="U231" s="43">
        <f t="shared" si="130"/>
        <v>2.5369369369369366E-6</v>
      </c>
      <c r="V231" s="43">
        <f t="shared" si="131"/>
        <v>1.5946460746460745E-7</v>
      </c>
      <c r="W231" s="43">
        <f t="shared" si="132"/>
        <v>1.8120978120978119E-6</v>
      </c>
      <c r="X231" s="43">
        <f t="shared" si="133"/>
        <v>1.8120978120978119E-15</v>
      </c>
      <c r="Y231" s="205">
        <f t="shared" si="134"/>
        <v>9.7158510380498146</v>
      </c>
    </row>
    <row r="232" spans="1:25">
      <c r="A232" t="s">
        <v>905</v>
      </c>
      <c r="D232">
        <v>64</v>
      </c>
      <c r="E232">
        <v>1.2</v>
      </c>
      <c r="H232" s="1">
        <f t="shared" si="105"/>
        <v>0</v>
      </c>
      <c r="I232" s="43">
        <f t="shared" si="119"/>
        <v>4.1529106779922776E-5</v>
      </c>
      <c r="J232" s="1">
        <f t="shared" si="120"/>
        <v>0</v>
      </c>
      <c r="K232" s="1">
        <f t="shared" si="121"/>
        <v>0</v>
      </c>
      <c r="L232" s="43">
        <f t="shared" si="122"/>
        <v>1.5308602316602314E-4</v>
      </c>
      <c r="M232" s="43">
        <f t="shared" si="123"/>
        <v>7.4629436293436281E-5</v>
      </c>
      <c r="N232" s="43">
        <f t="shared" si="124"/>
        <v>1.0205734877734877E-6</v>
      </c>
      <c r="O232" s="43">
        <f t="shared" si="125"/>
        <v>1.0903898856840032E-2</v>
      </c>
      <c r="P232" s="43">
        <f t="shared" si="126"/>
        <v>8.3578214853508956E-2</v>
      </c>
      <c r="Q232" s="43">
        <v>217.36</v>
      </c>
      <c r="R232" s="43">
        <f t="shared" si="127"/>
        <v>3.2924751305927778E-2</v>
      </c>
      <c r="S232" s="43">
        <f t="shared" si="128"/>
        <v>4.018508108108108</v>
      </c>
      <c r="T232" s="43">
        <f t="shared" si="129"/>
        <v>8.037016216216216</v>
      </c>
      <c r="U232" s="43">
        <f t="shared" si="130"/>
        <v>2.0295495495495492E-5</v>
      </c>
      <c r="V232" s="43">
        <f t="shared" si="131"/>
        <v>1.2757168597168596E-6</v>
      </c>
      <c r="W232" s="43">
        <f t="shared" si="132"/>
        <v>1.4496782496782495E-5</v>
      </c>
      <c r="X232" s="43">
        <f t="shared" si="133"/>
        <v>1.4496782496782495E-14</v>
      </c>
      <c r="Y232" s="205">
        <f t="shared" si="134"/>
        <v>17.169216300158979</v>
      </c>
    </row>
    <row r="233" spans="1:25">
      <c r="A233" t="s">
        <v>906</v>
      </c>
      <c r="D233">
        <v>4</v>
      </c>
      <c r="E233">
        <v>1.2</v>
      </c>
      <c r="H233" s="1">
        <f t="shared" si="105"/>
        <v>0</v>
      </c>
      <c r="I233" s="43">
        <f t="shared" si="119"/>
        <v>2.5955691737451735E-6</v>
      </c>
      <c r="J233" s="1">
        <f t="shared" si="120"/>
        <v>0</v>
      </c>
      <c r="K233" s="1">
        <f t="shared" si="121"/>
        <v>0</v>
      </c>
      <c r="L233" s="43">
        <f t="shared" si="122"/>
        <v>9.5678764478764463E-6</v>
      </c>
      <c r="M233" s="43">
        <f t="shared" si="123"/>
        <v>4.6643397683397676E-6</v>
      </c>
      <c r="N233" s="43">
        <f t="shared" si="124"/>
        <v>6.3785842985842982E-8</v>
      </c>
      <c r="O233" s="43">
        <f t="shared" si="125"/>
        <v>1.0903898856840032E-2</v>
      </c>
      <c r="P233" s="43">
        <f t="shared" si="126"/>
        <v>5.2236384283443097E-3</v>
      </c>
      <c r="Q233" s="43">
        <v>218.36</v>
      </c>
      <c r="R233" s="43">
        <f t="shared" si="127"/>
        <v>2.0577969566204861E-3</v>
      </c>
      <c r="S233" s="43">
        <f t="shared" si="128"/>
        <v>0.25115675675675675</v>
      </c>
      <c r="T233" s="43">
        <f t="shared" si="129"/>
        <v>0.5023135135135135</v>
      </c>
      <c r="U233" s="43">
        <f t="shared" si="130"/>
        <v>1.2684684684684683E-6</v>
      </c>
      <c r="V233" s="43">
        <f t="shared" si="131"/>
        <v>7.9732303732303727E-8</v>
      </c>
      <c r="W233" s="43">
        <f t="shared" si="132"/>
        <v>9.0604890604890593E-7</v>
      </c>
      <c r="X233" s="43">
        <f t="shared" si="133"/>
        <v>9.0604890604890594E-16</v>
      </c>
      <c r="Y233" s="205">
        <f t="shared" si="134"/>
        <v>9.2663249478991609</v>
      </c>
    </row>
    <row r="234" spans="1:25">
      <c r="A234" t="s">
        <v>907</v>
      </c>
      <c r="D234">
        <v>33</v>
      </c>
      <c r="E234">
        <v>1.2</v>
      </c>
      <c r="H234" s="1">
        <f t="shared" si="105"/>
        <v>0</v>
      </c>
      <c r="I234" s="43">
        <f t="shared" si="119"/>
        <v>2.1413445683397682E-5</v>
      </c>
      <c r="J234" s="1">
        <f t="shared" si="120"/>
        <v>0</v>
      </c>
      <c r="K234" s="1">
        <f t="shared" si="121"/>
        <v>0</v>
      </c>
      <c r="L234" s="43">
        <f t="shared" si="122"/>
        <v>7.8934980694980681E-5</v>
      </c>
      <c r="M234" s="43">
        <f t="shared" si="123"/>
        <v>3.8480803088803084E-5</v>
      </c>
      <c r="N234" s="43">
        <f t="shared" si="124"/>
        <v>5.2623320463320456E-7</v>
      </c>
      <c r="O234" s="43">
        <f t="shared" si="125"/>
        <v>1.0903898856840032E-2</v>
      </c>
      <c r="P234" s="43">
        <f t="shared" si="126"/>
        <v>4.3095017033840555E-2</v>
      </c>
      <c r="Q234" s="43">
        <v>219.36</v>
      </c>
      <c r="R234" s="43">
        <f t="shared" si="127"/>
        <v>1.6976824892119012E-2</v>
      </c>
      <c r="S234" s="43">
        <f t="shared" si="128"/>
        <v>2.0720432432432432</v>
      </c>
      <c r="T234" s="43">
        <f t="shared" si="129"/>
        <v>4.1440864864864864</v>
      </c>
      <c r="U234" s="43">
        <f t="shared" si="130"/>
        <v>1.0464864864864863E-5</v>
      </c>
      <c r="V234" s="43">
        <f t="shared" si="131"/>
        <v>6.5779150579150578E-7</v>
      </c>
      <c r="W234" s="43">
        <f t="shared" si="132"/>
        <v>7.474903474903474E-6</v>
      </c>
      <c r="X234" s="43">
        <f t="shared" si="133"/>
        <v>7.4749034749034736E-15</v>
      </c>
      <c r="Y234" s="205">
        <f t="shared" si="134"/>
        <v>13.145389101491405</v>
      </c>
    </row>
    <row r="235" spans="1:25">
      <c r="A235" t="s">
        <v>908</v>
      </c>
      <c r="D235">
        <v>41</v>
      </c>
      <c r="E235">
        <v>1.2</v>
      </c>
      <c r="H235" s="1">
        <f t="shared" si="105"/>
        <v>0</v>
      </c>
      <c r="I235" s="43">
        <f t="shared" si="119"/>
        <v>2.6604584030888028E-5</v>
      </c>
      <c r="J235" s="1">
        <f t="shared" si="120"/>
        <v>0</v>
      </c>
      <c r="K235" s="1">
        <f t="shared" si="121"/>
        <v>0</v>
      </c>
      <c r="L235" s="43">
        <f t="shared" si="122"/>
        <v>9.8070733590733571E-5</v>
      </c>
      <c r="M235" s="43">
        <f t="shared" si="123"/>
        <v>4.7809482625482618E-5</v>
      </c>
      <c r="N235" s="43">
        <f t="shared" si="124"/>
        <v>6.5380489060489052E-7</v>
      </c>
      <c r="O235" s="43">
        <f t="shared" si="125"/>
        <v>1.0903898856840032E-2</v>
      </c>
      <c r="P235" s="43">
        <f t="shared" si="126"/>
        <v>5.3542293890529176E-2</v>
      </c>
      <c r="Q235" s="43">
        <v>220.36</v>
      </c>
      <c r="R235" s="43">
        <f t="shared" si="127"/>
        <v>2.1092418805359982E-2</v>
      </c>
      <c r="S235" s="43">
        <f t="shared" si="128"/>
        <v>2.5743567567567567</v>
      </c>
      <c r="T235" s="43">
        <f t="shared" si="129"/>
        <v>5.1487135135135134</v>
      </c>
      <c r="U235" s="43">
        <f t="shared" si="130"/>
        <v>1.30018018018018E-5</v>
      </c>
      <c r="V235" s="43">
        <f t="shared" si="131"/>
        <v>8.1725611325611315E-7</v>
      </c>
      <c r="W235" s="43">
        <f t="shared" si="132"/>
        <v>9.2870012870012853E-6</v>
      </c>
      <c r="X235" s="43">
        <f t="shared" si="133"/>
        <v>9.2870012870012867E-15</v>
      </c>
      <c r="Y235" s="205">
        <f t="shared" si="134"/>
        <v>14.244441281792717</v>
      </c>
    </row>
    <row r="236" spans="1:25">
      <c r="A236" t="s">
        <v>909</v>
      </c>
      <c r="D236">
        <v>1489</v>
      </c>
      <c r="E236">
        <v>1.2</v>
      </c>
      <c r="H236" s="1">
        <f t="shared" si="105"/>
        <v>0</v>
      </c>
      <c r="I236" s="43">
        <f t="shared" si="119"/>
        <v>9.6620062492664088E-4</v>
      </c>
      <c r="J236" s="1">
        <f t="shared" si="120"/>
        <v>0</v>
      </c>
      <c r="K236" s="1">
        <f t="shared" si="121"/>
        <v>0</v>
      </c>
      <c r="L236" s="43">
        <f t="shared" si="122"/>
        <v>3.5616420077220073E-3</v>
      </c>
      <c r="M236" s="43">
        <f t="shared" si="123"/>
        <v>1.7363004787644784E-3</v>
      </c>
      <c r="N236" s="43">
        <f t="shared" si="124"/>
        <v>2.3744280051480051E-5</v>
      </c>
      <c r="O236" s="43">
        <f t="shared" si="125"/>
        <v>1.0903898856840032E-2</v>
      </c>
      <c r="P236" s="43">
        <f t="shared" si="126"/>
        <v>1.9444994049511692</v>
      </c>
      <c r="Q236" s="43">
        <v>221.36</v>
      </c>
      <c r="R236" s="43">
        <f t="shared" si="127"/>
        <v>0.766014917101976</v>
      </c>
      <c r="S236" s="43">
        <f t="shared" si="128"/>
        <v>93.4931027027027</v>
      </c>
      <c r="T236" s="43">
        <f t="shared" si="129"/>
        <v>186.9862054054054</v>
      </c>
      <c r="U236" s="43">
        <f t="shared" si="130"/>
        <v>4.721873873873873E-4</v>
      </c>
      <c r="V236" s="43">
        <f t="shared" si="131"/>
        <v>2.9680350064350063E-5</v>
      </c>
      <c r="W236" s="43">
        <f t="shared" si="132"/>
        <v>3.3727670527670522E-4</v>
      </c>
      <c r="X236" s="43">
        <f t="shared" si="133"/>
        <v>3.3727670527670525E-13</v>
      </c>
      <c r="Y236" s="205">
        <f t="shared" si="134"/>
        <v>205.97288591632983</v>
      </c>
    </row>
    <row r="237" spans="1:25">
      <c r="A237" t="s">
        <v>910</v>
      </c>
      <c r="D237">
        <v>28</v>
      </c>
      <c r="E237">
        <v>1.2</v>
      </c>
      <c r="H237" s="1">
        <f t="shared" si="105"/>
        <v>0</v>
      </c>
      <c r="I237" s="43">
        <f t="shared" si="119"/>
        <v>1.8168984216216213E-5</v>
      </c>
      <c r="J237" s="1">
        <f t="shared" si="120"/>
        <v>0</v>
      </c>
      <c r="K237" s="1">
        <f t="shared" si="121"/>
        <v>0</v>
      </c>
      <c r="L237" s="43">
        <f t="shared" si="122"/>
        <v>6.6975135135135126E-5</v>
      </c>
      <c r="M237" s="43">
        <f t="shared" si="123"/>
        <v>3.2650378378378374E-5</v>
      </c>
      <c r="N237" s="43">
        <f t="shared" si="124"/>
        <v>4.4650090090090087E-7</v>
      </c>
      <c r="O237" s="43">
        <f t="shared" si="125"/>
        <v>1.0903898856840032E-2</v>
      </c>
      <c r="P237" s="43">
        <f t="shared" si="126"/>
        <v>3.6565468998410171E-2</v>
      </c>
      <c r="Q237" s="43">
        <v>222.36</v>
      </c>
      <c r="R237" s="43">
        <f t="shared" si="127"/>
        <v>1.4404578696343403E-2</v>
      </c>
      <c r="S237" s="43">
        <f t="shared" si="128"/>
        <v>1.7580972972972972</v>
      </c>
      <c r="T237" s="43">
        <f t="shared" si="129"/>
        <v>3.5161945945945945</v>
      </c>
      <c r="U237" s="43">
        <f t="shared" si="130"/>
        <v>8.8792792792792775E-6</v>
      </c>
      <c r="V237" s="43">
        <f t="shared" si="131"/>
        <v>5.5812612612612608E-7</v>
      </c>
      <c r="W237" s="43">
        <f t="shared" si="132"/>
        <v>6.3423423423423418E-6</v>
      </c>
      <c r="X237" s="43">
        <f t="shared" si="133"/>
        <v>6.3423423423423418E-15</v>
      </c>
      <c r="Y237" s="205">
        <f t="shared" si="134"/>
        <v>12.603481488803087</v>
      </c>
    </row>
    <row r="238" spans="1:25">
      <c r="A238" t="s">
        <v>911</v>
      </c>
      <c r="D238">
        <v>7371</v>
      </c>
      <c r="E238">
        <v>1.2</v>
      </c>
      <c r="H238" s="1">
        <f t="shared" si="105"/>
        <v>0</v>
      </c>
      <c r="I238" s="43">
        <f t="shared" si="119"/>
        <v>4.7829850949189182E-3</v>
      </c>
      <c r="J238" s="1">
        <f t="shared" si="120"/>
        <v>0</v>
      </c>
      <c r="K238" s="1">
        <f t="shared" si="121"/>
        <v>0</v>
      </c>
      <c r="L238" s="43">
        <f t="shared" si="122"/>
        <v>1.7631204324324322E-2</v>
      </c>
      <c r="M238" s="43">
        <f t="shared" si="123"/>
        <v>8.5952121081081072E-3</v>
      </c>
      <c r="N238" s="43">
        <f t="shared" si="124"/>
        <v>1.1754136216216215E-4</v>
      </c>
      <c r="O238" s="43">
        <f t="shared" si="125"/>
        <v>1.0903898856840032E-2</v>
      </c>
      <c r="P238" s="43">
        <f t="shared" si="126"/>
        <v>9.6258597138314776</v>
      </c>
      <c r="Q238" s="43">
        <v>223.36</v>
      </c>
      <c r="R238" s="43">
        <f t="shared" si="127"/>
        <v>3.7920053418124007</v>
      </c>
      <c r="S238" s="43">
        <f t="shared" si="128"/>
        <v>462.81911351351351</v>
      </c>
      <c r="T238" s="43">
        <f t="shared" si="129"/>
        <v>925.63822702702703</v>
      </c>
      <c r="U238" s="43">
        <f t="shared" si="130"/>
        <v>2.3374702702702701E-3</v>
      </c>
      <c r="V238" s="43">
        <f t="shared" si="131"/>
        <v>1.4692670270270269E-4</v>
      </c>
      <c r="W238" s="43">
        <f t="shared" si="132"/>
        <v>1.6696216216216214E-3</v>
      </c>
      <c r="X238" s="43">
        <f t="shared" si="133"/>
        <v>1.6696216216216213E-12</v>
      </c>
      <c r="Y238" s="205">
        <f t="shared" si="134"/>
        <v>984.72100148286756</v>
      </c>
    </row>
    <row r="239" spans="1:25">
      <c r="A239" t="s">
        <v>912</v>
      </c>
      <c r="D239">
        <v>16</v>
      </c>
      <c r="E239">
        <v>1.2</v>
      </c>
      <c r="H239" s="1">
        <f t="shared" si="105"/>
        <v>0</v>
      </c>
      <c r="I239" s="43">
        <f t="shared" si="119"/>
        <v>1.0382276694980694E-5</v>
      </c>
      <c r="J239" s="1">
        <f t="shared" si="120"/>
        <v>0</v>
      </c>
      <c r="K239" s="1">
        <f t="shared" si="121"/>
        <v>0</v>
      </c>
      <c r="L239" s="43">
        <f t="shared" si="122"/>
        <v>3.8271505791505785E-5</v>
      </c>
      <c r="M239" s="43">
        <f t="shared" si="123"/>
        <v>1.865735907335907E-5</v>
      </c>
      <c r="N239" s="43">
        <f t="shared" si="124"/>
        <v>2.5514337194337193E-7</v>
      </c>
      <c r="O239" s="43">
        <f t="shared" si="125"/>
        <v>1.0903898856840032E-2</v>
      </c>
      <c r="P239" s="43">
        <f t="shared" si="126"/>
        <v>2.0894553713377239E-2</v>
      </c>
      <c r="Q239" s="43">
        <v>224.36</v>
      </c>
      <c r="R239" s="43">
        <f t="shared" si="127"/>
        <v>8.2311878264819446E-3</v>
      </c>
      <c r="S239" s="43">
        <f t="shared" si="128"/>
        <v>1.004627027027027</v>
      </c>
      <c r="T239" s="43">
        <f t="shared" si="129"/>
        <v>2.009254054054054</v>
      </c>
      <c r="U239" s="43">
        <f t="shared" si="130"/>
        <v>5.0738738738738731E-6</v>
      </c>
      <c r="V239" s="43">
        <f t="shared" si="131"/>
        <v>3.1892921492921491E-7</v>
      </c>
      <c r="W239" s="43">
        <f t="shared" si="132"/>
        <v>3.6241956241956237E-6</v>
      </c>
      <c r="X239" s="43">
        <f t="shared" si="133"/>
        <v>3.6241956241956238E-15</v>
      </c>
      <c r="Y239" s="205">
        <f t="shared" si="134"/>
        <v>11.094903218351122</v>
      </c>
    </row>
    <row r="240" spans="1:25" s="88" customFormat="1">
      <c r="A240" s="45" t="s">
        <v>1529</v>
      </c>
      <c r="D240" s="88">
        <v>21</v>
      </c>
      <c r="E240" s="88">
        <v>1.2</v>
      </c>
      <c r="H240" s="141">
        <f t="shared" si="105"/>
        <v>0</v>
      </c>
      <c r="I240" s="142">
        <f t="shared" si="119"/>
        <v>1.3626738162162161E-5</v>
      </c>
      <c r="J240" s="141">
        <f t="shared" si="120"/>
        <v>0</v>
      </c>
      <c r="K240" s="141">
        <f t="shared" si="121"/>
        <v>0</v>
      </c>
      <c r="L240" s="142">
        <f t="shared" si="122"/>
        <v>5.0231351351351341E-5</v>
      </c>
      <c r="M240" s="142">
        <f t="shared" si="123"/>
        <v>2.448778378378378E-5</v>
      </c>
      <c r="N240" s="142">
        <f t="shared" si="124"/>
        <v>3.3487567567567567E-7</v>
      </c>
      <c r="O240" s="142">
        <f t="shared" si="125"/>
        <v>1.0903898856840032E-2</v>
      </c>
      <c r="P240" s="142">
        <f t="shared" si="126"/>
        <v>2.7424101748807626E-2</v>
      </c>
      <c r="Q240" s="142">
        <v>225.36</v>
      </c>
      <c r="R240" s="142">
        <f t="shared" si="127"/>
        <v>1.0803434022257552E-2</v>
      </c>
      <c r="S240" s="142">
        <f t="shared" si="128"/>
        <v>1.3185729729729729</v>
      </c>
      <c r="T240" s="129">
        <f t="shared" si="129"/>
        <v>2.6371459459459459</v>
      </c>
      <c r="U240" s="129">
        <f t="shared" si="130"/>
        <v>6.6594594594594586E-6</v>
      </c>
      <c r="V240" s="129">
        <f t="shared" si="131"/>
        <v>4.1859459459459456E-7</v>
      </c>
      <c r="W240" s="129">
        <f t="shared" si="132"/>
        <v>4.7567567567567564E-6</v>
      </c>
      <c r="X240" s="129">
        <f t="shared" si="133"/>
        <v>4.7567567567567564E-15</v>
      </c>
      <c r="Y240" s="205">
        <f t="shared" si="134"/>
        <v>11.796810831039442</v>
      </c>
    </row>
    <row r="241" spans="1:25">
      <c r="A241" t="s">
        <v>913</v>
      </c>
      <c r="D241">
        <v>20</v>
      </c>
      <c r="E241">
        <v>1.2</v>
      </c>
      <c r="H241" s="1">
        <f t="shared" si="105"/>
        <v>0</v>
      </c>
      <c r="I241" s="43">
        <f t="shared" si="119"/>
        <v>1.2977845868725867E-5</v>
      </c>
      <c r="J241" s="1">
        <f t="shared" si="120"/>
        <v>0</v>
      </c>
      <c r="K241" s="1">
        <f t="shared" si="121"/>
        <v>0</v>
      </c>
      <c r="L241" s="43">
        <f t="shared" si="122"/>
        <v>4.783938223938223E-5</v>
      </c>
      <c r="M241" s="43">
        <f t="shared" si="123"/>
        <v>2.3321698841698837E-5</v>
      </c>
      <c r="N241" s="43">
        <f t="shared" si="124"/>
        <v>3.1892921492921491E-7</v>
      </c>
      <c r="O241" s="43">
        <f t="shared" si="125"/>
        <v>1.0903898856840032E-2</v>
      </c>
      <c r="P241" s="43">
        <f t="shared" si="126"/>
        <v>2.611819214172155E-2</v>
      </c>
      <c r="Q241" s="43">
        <v>226.36</v>
      </c>
      <c r="R241" s="43">
        <f t="shared" si="127"/>
        <v>1.0288984783102431E-2</v>
      </c>
      <c r="S241" s="43">
        <f t="shared" si="128"/>
        <v>1.2557837837837837</v>
      </c>
      <c r="T241" s="43">
        <f t="shared" si="129"/>
        <v>2.5115675675675675</v>
      </c>
      <c r="U241" s="43">
        <f t="shared" si="130"/>
        <v>6.3423423423423418E-6</v>
      </c>
      <c r="V241" s="43">
        <f t="shared" si="131"/>
        <v>3.9866151866151865E-7</v>
      </c>
      <c r="W241" s="43">
        <f t="shared" si="132"/>
        <v>4.5302445302445297E-6</v>
      </c>
      <c r="X241" s="43">
        <f t="shared" si="133"/>
        <v>4.5302445302445295E-15</v>
      </c>
      <c r="Y241" s="205">
        <f t="shared" si="134"/>
        <v>11.704429308501782</v>
      </c>
    </row>
    <row r="242" spans="1:25">
      <c r="A242" t="s">
        <v>914</v>
      </c>
      <c r="D242">
        <v>1</v>
      </c>
      <c r="E242">
        <v>1.2</v>
      </c>
      <c r="H242" s="1">
        <f t="shared" si="105"/>
        <v>0</v>
      </c>
      <c r="I242" s="43">
        <f t="shared" si="119"/>
        <v>6.4889229343629337E-7</v>
      </c>
      <c r="J242" s="1">
        <f t="shared" si="120"/>
        <v>0</v>
      </c>
      <c r="K242" s="1">
        <f t="shared" si="121"/>
        <v>0</v>
      </c>
      <c r="L242" s="43">
        <f t="shared" si="122"/>
        <v>2.3919691119691116E-6</v>
      </c>
      <c r="M242" s="43">
        <f t="shared" si="123"/>
        <v>1.1660849420849419E-6</v>
      </c>
      <c r="N242" s="43">
        <f t="shared" si="124"/>
        <v>1.5946460746460745E-8</v>
      </c>
      <c r="O242" s="43">
        <f t="shared" si="125"/>
        <v>1.0903898856840032E-2</v>
      </c>
      <c r="P242" s="43">
        <f t="shared" si="126"/>
        <v>1.3059096070860774E-3</v>
      </c>
      <c r="Q242" s="43">
        <v>227.36</v>
      </c>
      <c r="R242" s="43">
        <f t="shared" si="127"/>
        <v>5.1444923915512154E-4</v>
      </c>
      <c r="S242" s="43">
        <f t="shared" si="128"/>
        <v>6.2789189189189187E-2</v>
      </c>
      <c r="T242" s="43">
        <f t="shared" si="129"/>
        <v>0.12557837837837837</v>
      </c>
      <c r="U242" s="43">
        <f t="shared" si="130"/>
        <v>3.1711711711711707E-7</v>
      </c>
      <c r="V242" s="43">
        <f t="shared" si="131"/>
        <v>1.9933075933075932E-8</v>
      </c>
      <c r="W242" s="43">
        <f t="shared" si="132"/>
        <v>2.2651222651222648E-7</v>
      </c>
      <c r="X242" s="43">
        <f t="shared" si="133"/>
        <v>2.2651222651222649E-16</v>
      </c>
      <c r="Y242" s="205">
        <f t="shared" si="134"/>
        <v>9.2291803802861683</v>
      </c>
    </row>
    <row r="243" spans="1:25">
      <c r="A243" t="s">
        <v>915</v>
      </c>
      <c r="D243">
        <v>1</v>
      </c>
      <c r="E243">
        <v>1.2</v>
      </c>
      <c r="H243" s="1">
        <f t="shared" si="105"/>
        <v>0</v>
      </c>
      <c r="I243" s="43">
        <f t="shared" si="119"/>
        <v>6.4889229343629337E-7</v>
      </c>
      <c r="J243" s="1">
        <f t="shared" si="120"/>
        <v>0</v>
      </c>
      <c r="K243" s="1">
        <f t="shared" si="121"/>
        <v>0</v>
      </c>
      <c r="L243" s="43">
        <f t="shared" si="122"/>
        <v>2.3919691119691116E-6</v>
      </c>
      <c r="M243" s="43">
        <f t="shared" si="123"/>
        <v>1.1660849420849419E-6</v>
      </c>
      <c r="N243" s="43">
        <f t="shared" si="124"/>
        <v>1.5946460746460745E-8</v>
      </c>
      <c r="O243" s="43">
        <f t="shared" si="125"/>
        <v>1.0903898856840032E-2</v>
      </c>
      <c r="P243" s="43">
        <f t="shared" si="126"/>
        <v>1.3059096070860774E-3</v>
      </c>
      <c r="Q243" s="43">
        <v>228.36</v>
      </c>
      <c r="R243" s="43">
        <f t="shared" si="127"/>
        <v>5.1444923915512154E-4</v>
      </c>
      <c r="S243" s="43">
        <f t="shared" si="128"/>
        <v>6.2789189189189187E-2</v>
      </c>
      <c r="T243" s="43">
        <f t="shared" si="129"/>
        <v>0.12557837837837837</v>
      </c>
      <c r="U243" s="43">
        <f t="shared" si="130"/>
        <v>3.1711711711711707E-7</v>
      </c>
      <c r="V243" s="43">
        <f t="shared" si="131"/>
        <v>1.9933075933075932E-8</v>
      </c>
      <c r="W243" s="43">
        <f t="shared" si="132"/>
        <v>2.2651222651222648E-7</v>
      </c>
      <c r="X243" s="43">
        <f t="shared" si="133"/>
        <v>2.2651222651222649E-16</v>
      </c>
      <c r="Y243" s="205">
        <f t="shared" si="134"/>
        <v>9.2691803802861692</v>
      </c>
    </row>
    <row r="244" spans="1:25">
      <c r="A244" t="s">
        <v>916</v>
      </c>
      <c r="D244">
        <v>1</v>
      </c>
      <c r="E244">
        <v>1.2</v>
      </c>
      <c r="H244" s="1">
        <f t="shared" si="105"/>
        <v>0</v>
      </c>
      <c r="I244" s="43">
        <f t="shared" si="119"/>
        <v>6.4889229343629337E-7</v>
      </c>
      <c r="J244" s="1">
        <f t="shared" si="120"/>
        <v>0</v>
      </c>
      <c r="K244" s="1">
        <f t="shared" si="121"/>
        <v>0</v>
      </c>
      <c r="L244" s="43">
        <f t="shared" si="122"/>
        <v>2.3919691119691116E-6</v>
      </c>
      <c r="M244" s="43">
        <f t="shared" si="123"/>
        <v>1.1660849420849419E-6</v>
      </c>
      <c r="N244" s="43">
        <f t="shared" si="124"/>
        <v>1.5946460746460745E-8</v>
      </c>
      <c r="O244" s="43">
        <f t="shared" si="125"/>
        <v>1.0903898856840032E-2</v>
      </c>
      <c r="P244" s="43">
        <f t="shared" si="126"/>
        <v>1.3059096070860774E-3</v>
      </c>
      <c r="Q244" s="43">
        <v>229.36</v>
      </c>
      <c r="R244" s="43">
        <f t="shared" si="127"/>
        <v>5.1444923915512154E-4</v>
      </c>
      <c r="S244" s="43">
        <f t="shared" si="128"/>
        <v>6.2789189189189187E-2</v>
      </c>
      <c r="T244" s="43">
        <f t="shared" si="129"/>
        <v>0.12557837837837837</v>
      </c>
      <c r="U244" s="43">
        <f t="shared" si="130"/>
        <v>3.1711711711711707E-7</v>
      </c>
      <c r="V244" s="43">
        <f t="shared" si="131"/>
        <v>1.9933075933075932E-8</v>
      </c>
      <c r="W244" s="43">
        <f t="shared" si="132"/>
        <v>2.2651222651222648E-7</v>
      </c>
      <c r="X244" s="43">
        <f t="shared" si="133"/>
        <v>2.2651222651222649E-16</v>
      </c>
      <c r="Y244" s="205">
        <f t="shared" si="134"/>
        <v>9.3091803802861683</v>
      </c>
    </row>
    <row r="245" spans="1:25">
      <c r="A245" t="s">
        <v>917</v>
      </c>
      <c r="D245">
        <v>1</v>
      </c>
      <c r="E245">
        <v>1.2</v>
      </c>
      <c r="H245" s="1">
        <f t="shared" si="105"/>
        <v>0</v>
      </c>
      <c r="I245" s="43">
        <f t="shared" si="119"/>
        <v>6.4889229343629337E-7</v>
      </c>
      <c r="J245" s="1">
        <f t="shared" si="120"/>
        <v>0</v>
      </c>
      <c r="K245" s="1">
        <f t="shared" si="121"/>
        <v>0</v>
      </c>
      <c r="L245" s="43">
        <f t="shared" si="122"/>
        <v>2.3919691119691116E-6</v>
      </c>
      <c r="M245" s="43">
        <f t="shared" si="123"/>
        <v>1.1660849420849419E-6</v>
      </c>
      <c r="N245" s="43">
        <f t="shared" si="124"/>
        <v>1.5946460746460745E-8</v>
      </c>
      <c r="O245" s="43">
        <f t="shared" si="125"/>
        <v>1.0903898856840032E-2</v>
      </c>
      <c r="P245" s="43">
        <f t="shared" si="126"/>
        <v>1.3059096070860774E-3</v>
      </c>
      <c r="Q245" s="43">
        <v>230.36</v>
      </c>
      <c r="R245" s="43">
        <f t="shared" si="127"/>
        <v>5.1444923915512154E-4</v>
      </c>
      <c r="S245" s="43">
        <f t="shared" si="128"/>
        <v>6.2789189189189187E-2</v>
      </c>
      <c r="T245" s="43">
        <f t="shared" si="129"/>
        <v>0.12557837837837837</v>
      </c>
      <c r="U245" s="43">
        <f t="shared" si="130"/>
        <v>3.1711711711711707E-7</v>
      </c>
      <c r="V245" s="43">
        <f t="shared" si="131"/>
        <v>1.9933075933075932E-8</v>
      </c>
      <c r="W245" s="43">
        <f t="shared" si="132"/>
        <v>2.2651222651222648E-7</v>
      </c>
      <c r="X245" s="43">
        <f t="shared" si="133"/>
        <v>2.2651222651222649E-16</v>
      </c>
      <c r="Y245" s="205">
        <f t="shared" si="134"/>
        <v>9.3491803802861693</v>
      </c>
    </row>
    <row r="246" spans="1:25">
      <c r="A246" t="s">
        <v>918</v>
      </c>
      <c r="D246">
        <v>4</v>
      </c>
      <c r="E246">
        <v>1.2</v>
      </c>
      <c r="H246" s="1">
        <f t="shared" si="105"/>
        <v>0</v>
      </c>
      <c r="I246" s="43">
        <f t="shared" si="119"/>
        <v>2.5955691737451735E-6</v>
      </c>
      <c r="J246" s="1">
        <f t="shared" si="120"/>
        <v>0</v>
      </c>
      <c r="K246" s="1">
        <f t="shared" si="121"/>
        <v>0</v>
      </c>
      <c r="L246" s="43">
        <f t="shared" si="122"/>
        <v>9.5678764478764463E-6</v>
      </c>
      <c r="M246" s="43">
        <f t="shared" si="123"/>
        <v>4.6643397683397676E-6</v>
      </c>
      <c r="N246" s="43">
        <f t="shared" si="124"/>
        <v>6.3785842985842982E-8</v>
      </c>
      <c r="O246" s="43">
        <f t="shared" si="125"/>
        <v>1.0903898856840032E-2</v>
      </c>
      <c r="P246" s="43">
        <f t="shared" si="126"/>
        <v>5.2236384283443097E-3</v>
      </c>
      <c r="Q246" s="43">
        <v>231.36</v>
      </c>
      <c r="R246" s="43">
        <f t="shared" si="127"/>
        <v>2.0577969566204861E-3</v>
      </c>
      <c r="S246" s="43">
        <f t="shared" si="128"/>
        <v>0.25115675675675675</v>
      </c>
      <c r="T246" s="43">
        <f t="shared" si="129"/>
        <v>0.5023135135135135</v>
      </c>
      <c r="U246" s="43">
        <f t="shared" si="130"/>
        <v>1.2684684684684683E-6</v>
      </c>
      <c r="V246" s="43">
        <f t="shared" si="131"/>
        <v>7.9732303732303727E-8</v>
      </c>
      <c r="W246" s="43">
        <f t="shared" si="132"/>
        <v>9.0604890604890593E-7</v>
      </c>
      <c r="X246" s="43">
        <f t="shared" si="133"/>
        <v>9.0604890604890594E-16</v>
      </c>
      <c r="Y246" s="205">
        <f t="shared" si="134"/>
        <v>9.7863249478991605</v>
      </c>
    </row>
    <row r="247" spans="1:25">
      <c r="A247" t="s">
        <v>637</v>
      </c>
      <c r="D247">
        <v>24</v>
      </c>
      <c r="E247">
        <v>1.2</v>
      </c>
      <c r="H247" s="1">
        <f t="shared" si="105"/>
        <v>0</v>
      </c>
      <c r="I247" s="43">
        <f t="shared" si="119"/>
        <v>1.5573415042471042E-5</v>
      </c>
      <c r="J247" s="1">
        <f t="shared" si="120"/>
        <v>0</v>
      </c>
      <c r="K247" s="1">
        <f t="shared" si="121"/>
        <v>0</v>
      </c>
      <c r="L247" s="43">
        <f t="shared" si="122"/>
        <v>5.7407258687258681E-5</v>
      </c>
      <c r="M247" s="43">
        <f t="shared" si="123"/>
        <v>2.7986038610038607E-5</v>
      </c>
      <c r="N247" s="43">
        <f t="shared" si="124"/>
        <v>3.8271505791505789E-7</v>
      </c>
      <c r="O247" s="43">
        <f t="shared" si="125"/>
        <v>1.0903898856840032E-2</v>
      </c>
      <c r="P247" s="43">
        <f t="shared" si="126"/>
        <v>3.1341830570065857E-2</v>
      </c>
      <c r="Q247" s="43">
        <v>232.36</v>
      </c>
      <c r="R247" s="43">
        <f t="shared" si="127"/>
        <v>1.2346781739722916E-2</v>
      </c>
      <c r="S247" s="43">
        <f t="shared" si="128"/>
        <v>1.5069405405405405</v>
      </c>
      <c r="T247" s="43">
        <f t="shared" si="129"/>
        <v>3.013881081081081</v>
      </c>
      <c r="U247" s="43">
        <f t="shared" si="130"/>
        <v>7.6108108108108097E-6</v>
      </c>
      <c r="V247" s="43">
        <f t="shared" si="131"/>
        <v>4.7839382239382234E-7</v>
      </c>
      <c r="W247" s="43">
        <f t="shared" si="132"/>
        <v>5.4362934362934354E-6</v>
      </c>
      <c r="X247" s="43">
        <f t="shared" si="133"/>
        <v>5.4362934362934361E-15</v>
      </c>
      <c r="Y247" s="205">
        <f t="shared" si="134"/>
        <v>12.473955398652434</v>
      </c>
    </row>
    <row r="248" spans="1:25">
      <c r="A248" t="s">
        <v>919</v>
      </c>
      <c r="D248">
        <v>5741</v>
      </c>
      <c r="E248">
        <v>1.2</v>
      </c>
      <c r="H248" s="1">
        <f t="shared" si="105"/>
        <v>0</v>
      </c>
      <c r="I248" s="43">
        <f t="shared" si="119"/>
        <v>3.7252906566177602E-3</v>
      </c>
      <c r="J248" s="1">
        <f t="shared" si="120"/>
        <v>0</v>
      </c>
      <c r="K248" s="1">
        <f t="shared" si="121"/>
        <v>0</v>
      </c>
      <c r="L248" s="43">
        <f t="shared" si="122"/>
        <v>1.3732294671814669E-2</v>
      </c>
      <c r="M248" s="43">
        <f t="shared" si="123"/>
        <v>6.6944936525096515E-3</v>
      </c>
      <c r="N248" s="43">
        <f t="shared" si="124"/>
        <v>9.1548631145431137E-5</v>
      </c>
      <c r="O248" s="43">
        <f t="shared" si="125"/>
        <v>1.0903898856840032E-2</v>
      </c>
      <c r="P248" s="43">
        <f t="shared" si="126"/>
        <v>7.4972270542811703</v>
      </c>
      <c r="Q248" s="43">
        <v>233.36</v>
      </c>
      <c r="R248" s="43">
        <f t="shared" si="127"/>
        <v>2.9534530819895526</v>
      </c>
      <c r="S248" s="43">
        <f t="shared" si="128"/>
        <v>360.47273513513511</v>
      </c>
      <c r="T248" s="43">
        <f t="shared" si="129"/>
        <v>720.94547027027022</v>
      </c>
      <c r="U248" s="43">
        <f t="shared" si="130"/>
        <v>1.820569369369369E-3</v>
      </c>
      <c r="V248" s="43">
        <f t="shared" si="131"/>
        <v>1.1443578893178893E-4</v>
      </c>
      <c r="W248" s="43">
        <f t="shared" si="132"/>
        <v>1.3004066924066921E-3</v>
      </c>
      <c r="X248" s="43">
        <f t="shared" si="133"/>
        <v>1.3004066924066922E-12</v>
      </c>
      <c r="Y248" s="205">
        <f t="shared" si="134"/>
        <v>769.33911974647572</v>
      </c>
    </row>
    <row r="249" spans="1:25">
      <c r="A249" t="s">
        <v>920</v>
      </c>
      <c r="D249">
        <v>5245</v>
      </c>
      <c r="E249">
        <v>1.2</v>
      </c>
      <c r="H249" s="1">
        <f t="shared" si="105"/>
        <v>0</v>
      </c>
      <c r="I249" s="43">
        <f t="shared" si="119"/>
        <v>3.4034400790733587E-3</v>
      </c>
      <c r="J249" s="1">
        <f t="shared" si="120"/>
        <v>0</v>
      </c>
      <c r="K249" s="1">
        <f t="shared" si="121"/>
        <v>0</v>
      </c>
      <c r="L249" s="43">
        <f t="shared" si="122"/>
        <v>1.2545877992277989E-2</v>
      </c>
      <c r="M249" s="43">
        <f t="shared" si="123"/>
        <v>6.1161155212355201E-3</v>
      </c>
      <c r="N249" s="43">
        <f t="shared" si="124"/>
        <v>8.3639186615186605E-5</v>
      </c>
      <c r="O249" s="43">
        <f t="shared" si="125"/>
        <v>1.0903898856840032E-2</v>
      </c>
      <c r="P249" s="43">
        <f t="shared" si="126"/>
        <v>6.8494958891664766</v>
      </c>
      <c r="Q249" s="43">
        <v>234.36</v>
      </c>
      <c r="R249" s="43">
        <f t="shared" si="127"/>
        <v>2.6982862593686123</v>
      </c>
      <c r="S249" s="43">
        <f t="shared" si="128"/>
        <v>329.32929729729727</v>
      </c>
      <c r="T249" s="43">
        <f t="shared" si="129"/>
        <v>658.65859459459455</v>
      </c>
      <c r="U249" s="43">
        <f t="shared" si="130"/>
        <v>1.6632792792792791E-3</v>
      </c>
      <c r="V249" s="43">
        <f t="shared" si="131"/>
        <v>1.0454898326898326E-4</v>
      </c>
      <c r="W249" s="43">
        <f t="shared" si="132"/>
        <v>1.1880566280566278E-3</v>
      </c>
      <c r="X249" s="43">
        <f t="shared" si="133"/>
        <v>1.188056628056628E-12</v>
      </c>
      <c r="Y249" s="205">
        <f t="shared" si="134"/>
        <v>703.71788456779461</v>
      </c>
    </row>
    <row r="250" spans="1:25">
      <c r="A250" t="s">
        <v>921</v>
      </c>
      <c r="D250">
        <v>4240</v>
      </c>
      <c r="E250">
        <v>1.2</v>
      </c>
      <c r="H250" s="1">
        <f t="shared" ref="H250:H287" si="135">F250*0.000179</f>
        <v>0</v>
      </c>
      <c r="I250" s="43">
        <f t="shared" si="119"/>
        <v>2.7513033241698837E-3</v>
      </c>
      <c r="J250" s="1">
        <f t="shared" si="120"/>
        <v>0</v>
      </c>
      <c r="K250" s="1">
        <f t="shared" si="121"/>
        <v>0</v>
      </c>
      <c r="L250" s="43">
        <f t="shared" ref="L250:L281" si="136">CO2_malnutrition_charfact*D250</f>
        <v>1.0141949034749033E-2</v>
      </c>
      <c r="M250" s="43">
        <f t="shared" ref="M250:M281" si="137">CO2_workingcapacity_charfact*D250</f>
        <v>4.9442001544401535E-3</v>
      </c>
      <c r="N250" s="43">
        <f t="shared" ref="N250:N281" si="138">CO2_diarrhea_charfact*D250</f>
        <v>6.761299356499356E-5</v>
      </c>
      <c r="O250" s="43">
        <f t="shared" ref="O250:O281" si="139">CO2_crop_charfact</f>
        <v>1.0903898856840032E-2</v>
      </c>
      <c r="P250" s="43">
        <f t="shared" ref="P250:P281" si="140">CO2_fruitandveg_charfact*D250</f>
        <v>5.5370567340449686</v>
      </c>
      <c r="Q250" s="43">
        <v>235.36</v>
      </c>
      <c r="R250" s="43">
        <f t="shared" ref="R250:R281" si="141">CO2_meatandfish_charfact*D250</f>
        <v>2.1812647740177153</v>
      </c>
      <c r="S250" s="43">
        <f t="shared" ref="S250:S281" si="142">CO2_drinkingwater_charfact*D250</f>
        <v>266.22616216216215</v>
      </c>
      <c r="T250" s="43">
        <f t="shared" ref="T250:T281" si="143">CO2_irrigationwater_charfact*D250</f>
        <v>532.45232432432431</v>
      </c>
      <c r="U250" s="43">
        <f t="shared" ref="U250:U281" si="144">CO2_energyaccess_charfact*D250</f>
        <v>1.3445765765765763E-3</v>
      </c>
      <c r="V250" s="43">
        <f t="shared" ref="V250:V281" si="145">CO2_housing_charfact*D250</f>
        <v>8.451624195624195E-5</v>
      </c>
      <c r="W250" s="43">
        <f t="shared" ref="W250:W281" si="146">CO2_separations_charfact*D250</f>
        <v>9.6041184041184026E-4</v>
      </c>
      <c r="X250" s="43">
        <f t="shared" ref="X250:X281" si="147">CO2_NEX_charfact*D250</f>
        <v>9.6041184041184034E-13</v>
      </c>
      <c r="Y250" s="205">
        <f t="shared" ref="Y250:Y281" si="148">(H250+I250)*YOLLvalue+J250*skincancervalue+K250*Lowvisionvalue+L250*malnutrition+M250*working_capacity+N250*diarrhea+O250*cropvalue+P250*Fruitandveg_value+Q250*woodvalue+R250*fishandmeatvalue+S250*drinkingwatervalue+T250*irrigationwatervalue+U250*energy_access+V250*housingvalue+W250*migrationvalue+X250*speciesvalue</f>
        <v>570.71445441744265</v>
      </c>
    </row>
    <row r="251" spans="1:25">
      <c r="A251" t="s">
        <v>288</v>
      </c>
      <c r="D251">
        <v>6300</v>
      </c>
      <c r="E251">
        <v>1.3</v>
      </c>
      <c r="H251" s="1">
        <f t="shared" si="135"/>
        <v>0</v>
      </c>
      <c r="I251" s="43">
        <f t="shared" si="119"/>
        <v>4.0880214486486485E-3</v>
      </c>
      <c r="J251" s="1">
        <f t="shared" si="120"/>
        <v>0</v>
      </c>
      <c r="K251" s="1">
        <f t="shared" si="121"/>
        <v>0</v>
      </c>
      <c r="L251" s="43">
        <f t="shared" si="136"/>
        <v>1.5069405405405403E-2</v>
      </c>
      <c r="M251" s="43">
        <f t="shared" si="137"/>
        <v>7.3463351351351338E-3</v>
      </c>
      <c r="N251" s="43">
        <f t="shared" si="138"/>
        <v>1.004627027027027E-4</v>
      </c>
      <c r="O251" s="43">
        <f t="shared" si="139"/>
        <v>1.0903898856840032E-2</v>
      </c>
      <c r="P251" s="43">
        <f t="shared" si="140"/>
        <v>8.2272305246422874</v>
      </c>
      <c r="Q251" s="43">
        <v>236.36</v>
      </c>
      <c r="R251" s="43">
        <f t="shared" si="141"/>
        <v>3.2410302066772658</v>
      </c>
      <c r="S251" s="43">
        <f t="shared" si="142"/>
        <v>395.57189189189188</v>
      </c>
      <c r="T251" s="43">
        <f t="shared" si="143"/>
        <v>791.14378378378376</v>
      </c>
      <c r="U251" s="43">
        <f t="shared" si="144"/>
        <v>1.9978378378378374E-3</v>
      </c>
      <c r="V251" s="43">
        <f t="shared" si="145"/>
        <v>1.2557837837837838E-4</v>
      </c>
      <c r="W251" s="43">
        <f t="shared" si="146"/>
        <v>1.4270270270270269E-3</v>
      </c>
      <c r="X251" s="43">
        <f t="shared" si="147"/>
        <v>1.4270270270270268E-12</v>
      </c>
      <c r="Y251" s="205">
        <f t="shared" si="148"/>
        <v>843.46039084502968</v>
      </c>
    </row>
    <row r="252" spans="1:25">
      <c r="A252" s="45" t="s">
        <v>289</v>
      </c>
      <c r="D252">
        <v>12500</v>
      </c>
      <c r="E252">
        <v>1.3</v>
      </c>
      <c r="H252" s="1">
        <f t="shared" si="135"/>
        <v>0</v>
      </c>
      <c r="I252" s="43">
        <f t="shared" si="119"/>
        <v>8.1111536679536675E-3</v>
      </c>
      <c r="J252" s="1">
        <f t="shared" si="120"/>
        <v>0</v>
      </c>
      <c r="K252" s="1">
        <f t="shared" si="121"/>
        <v>0</v>
      </c>
      <c r="L252" s="43">
        <f t="shared" si="136"/>
        <v>2.9899613899613896E-2</v>
      </c>
      <c r="M252" s="43">
        <f t="shared" si="137"/>
        <v>1.4576061776061773E-2</v>
      </c>
      <c r="N252" s="43">
        <f t="shared" si="138"/>
        <v>1.9933075933075933E-4</v>
      </c>
      <c r="O252" s="43">
        <f t="shared" si="139"/>
        <v>1.0903898856840032E-2</v>
      </c>
      <c r="P252" s="43">
        <f t="shared" si="140"/>
        <v>16.323870088575969</v>
      </c>
      <c r="Q252" s="43">
        <v>237.36</v>
      </c>
      <c r="R252" s="43">
        <f t="shared" si="141"/>
        <v>6.4306154894390195</v>
      </c>
      <c r="S252" s="43">
        <f t="shared" si="142"/>
        <v>784.86486486486478</v>
      </c>
      <c r="T252" s="43">
        <f t="shared" si="143"/>
        <v>1569.7297297297296</v>
      </c>
      <c r="U252" s="43">
        <f t="shared" si="144"/>
        <v>3.9639639639639634E-3</v>
      </c>
      <c r="V252" s="43">
        <f t="shared" si="145"/>
        <v>2.4916344916344916E-4</v>
      </c>
      <c r="W252" s="43">
        <f t="shared" si="146"/>
        <v>2.8314028314028309E-3</v>
      </c>
      <c r="X252" s="43">
        <f t="shared" si="147"/>
        <v>2.831402831402831E-12</v>
      </c>
      <c r="Y252" s="205">
        <f t="shared" si="148"/>
        <v>1664.2658305785444</v>
      </c>
    </row>
    <row r="253" spans="1:25">
      <c r="A253" s="45" t="s">
        <v>290</v>
      </c>
      <c r="D253">
        <v>9100</v>
      </c>
      <c r="E253">
        <v>1.3</v>
      </c>
      <c r="H253" s="1">
        <f t="shared" si="135"/>
        <v>0</v>
      </c>
      <c r="I253" s="43">
        <f t="shared" si="119"/>
        <v>5.9049198702702697E-3</v>
      </c>
      <c r="J253" s="1">
        <f t="shared" si="120"/>
        <v>0</v>
      </c>
      <c r="K253" s="1">
        <f t="shared" si="121"/>
        <v>0</v>
      </c>
      <c r="L253" s="43">
        <f t="shared" si="136"/>
        <v>2.1766918918918916E-2</v>
      </c>
      <c r="M253" s="43">
        <f t="shared" si="137"/>
        <v>1.061137297297297E-2</v>
      </c>
      <c r="N253" s="43">
        <f t="shared" si="138"/>
        <v>1.4511279279279279E-4</v>
      </c>
      <c r="O253" s="43">
        <f t="shared" si="139"/>
        <v>1.0903898856840032E-2</v>
      </c>
      <c r="P253" s="43">
        <f t="shared" si="140"/>
        <v>11.883777424483304</v>
      </c>
      <c r="Q253" s="43">
        <v>238.36</v>
      </c>
      <c r="R253" s="43">
        <f t="shared" si="141"/>
        <v>4.6814880763116058</v>
      </c>
      <c r="S253" s="43">
        <f t="shared" si="142"/>
        <v>571.38162162162166</v>
      </c>
      <c r="T253" s="43">
        <f t="shared" si="143"/>
        <v>1142.7632432432433</v>
      </c>
      <c r="U253" s="43">
        <f t="shared" si="144"/>
        <v>2.8857657657657652E-3</v>
      </c>
      <c r="V253" s="43">
        <f t="shared" si="145"/>
        <v>1.8139099099099098E-4</v>
      </c>
      <c r="W253" s="43">
        <f t="shared" si="146"/>
        <v>2.0612612612612609E-3</v>
      </c>
      <c r="X253" s="43">
        <f t="shared" si="147"/>
        <v>2.0612612612612611E-12</v>
      </c>
      <c r="Y253" s="205">
        <f t="shared" si="148"/>
        <v>1214.208653950488</v>
      </c>
    </row>
    <row r="254" spans="1:25">
      <c r="A254" s="45" t="s">
        <v>291</v>
      </c>
      <c r="D254">
        <v>6800</v>
      </c>
      <c r="E254">
        <v>1.3</v>
      </c>
      <c r="H254" s="1">
        <f t="shared" si="135"/>
        <v>0</v>
      </c>
      <c r="I254" s="43">
        <f t="shared" si="119"/>
        <v>4.4124675953667947E-3</v>
      </c>
      <c r="J254" s="1">
        <f t="shared" si="120"/>
        <v>0</v>
      </c>
      <c r="K254" s="1">
        <f t="shared" si="121"/>
        <v>0</v>
      </c>
      <c r="L254" s="43">
        <f t="shared" si="136"/>
        <v>1.6265389961389959E-2</v>
      </c>
      <c r="M254" s="43">
        <f t="shared" si="137"/>
        <v>7.9293776061776042E-3</v>
      </c>
      <c r="N254" s="43">
        <f t="shared" si="138"/>
        <v>1.0843593307593307E-4</v>
      </c>
      <c r="O254" s="43">
        <f t="shared" si="139"/>
        <v>1.0903898856840032E-2</v>
      </c>
      <c r="P254" s="43">
        <f t="shared" si="140"/>
        <v>8.8801853281853269</v>
      </c>
      <c r="Q254" s="43">
        <v>239.36</v>
      </c>
      <c r="R254" s="43">
        <f t="shared" si="141"/>
        <v>3.4982548262548265</v>
      </c>
      <c r="S254" s="43">
        <f t="shared" si="142"/>
        <v>426.96648648648647</v>
      </c>
      <c r="T254" s="43">
        <f t="shared" si="143"/>
        <v>853.93297297297295</v>
      </c>
      <c r="U254" s="43">
        <f t="shared" si="144"/>
        <v>2.1563963963963963E-3</v>
      </c>
      <c r="V254" s="43">
        <f t="shared" si="145"/>
        <v>1.3554491634491634E-4</v>
      </c>
      <c r="W254" s="43">
        <f t="shared" si="146"/>
        <v>1.5402831402831401E-3</v>
      </c>
      <c r="X254" s="43">
        <f t="shared" si="147"/>
        <v>1.54028314028314E-12</v>
      </c>
      <c r="Y254" s="205">
        <f t="shared" si="148"/>
        <v>909.7711521138616</v>
      </c>
    </row>
    <row r="255" spans="1:25">
      <c r="A255" s="45" t="s">
        <v>932</v>
      </c>
      <c r="D255">
        <v>100</v>
      </c>
      <c r="E255">
        <v>3</v>
      </c>
      <c r="F255">
        <v>1</v>
      </c>
      <c r="H255" s="1">
        <f t="shared" si="135"/>
        <v>1.7899999999999999E-4</v>
      </c>
      <c r="I255" s="43">
        <f t="shared" si="119"/>
        <v>6.4889229343629342E-5</v>
      </c>
      <c r="J255" s="1">
        <f t="shared" si="120"/>
        <v>1.33E-6</v>
      </c>
      <c r="K255" s="1">
        <f t="shared" si="121"/>
        <v>2.6600000000000001E-4</v>
      </c>
      <c r="L255" s="43">
        <f t="shared" si="136"/>
        <v>2.3919691119691117E-4</v>
      </c>
      <c r="M255" s="43">
        <f t="shared" si="137"/>
        <v>1.1660849420849419E-4</v>
      </c>
      <c r="N255" s="43">
        <f t="shared" si="138"/>
        <v>1.5946460746460746E-6</v>
      </c>
      <c r="O255" s="43">
        <f t="shared" si="139"/>
        <v>1.0903898856840032E-2</v>
      </c>
      <c r="P255" s="43">
        <f t="shared" si="140"/>
        <v>0.13059096070860773</v>
      </c>
      <c r="Q255" s="43">
        <v>240.36</v>
      </c>
      <c r="R255" s="43">
        <f t="shared" si="141"/>
        <v>5.1444923915512156E-2</v>
      </c>
      <c r="S255" s="43">
        <f t="shared" si="142"/>
        <v>6.2789189189189187</v>
      </c>
      <c r="T255" s="43">
        <f t="shared" si="143"/>
        <v>12.557837837837837</v>
      </c>
      <c r="U255" s="43">
        <f t="shared" si="144"/>
        <v>3.1711711711711709E-5</v>
      </c>
      <c r="V255" s="43">
        <f t="shared" si="145"/>
        <v>1.9933075933075932E-6</v>
      </c>
      <c r="W255" s="43">
        <f t="shared" si="146"/>
        <v>2.2651222651222648E-5</v>
      </c>
      <c r="X255" s="43">
        <f t="shared" si="147"/>
        <v>2.2651222651222648E-14</v>
      </c>
      <c r="Y255" s="205">
        <f t="shared" si="148"/>
        <v>34.069276111514874</v>
      </c>
    </row>
    <row r="256" spans="1:25">
      <c r="A256" s="47" t="s">
        <v>933</v>
      </c>
      <c r="D256">
        <v>100</v>
      </c>
      <c r="E256">
        <v>3</v>
      </c>
      <c r="F256" s="47">
        <v>0.5</v>
      </c>
      <c r="G256" s="47">
        <v>1.5</v>
      </c>
      <c r="H256" s="1">
        <f t="shared" si="135"/>
        <v>8.9499999999999994E-5</v>
      </c>
      <c r="I256" s="43">
        <f t="shared" si="119"/>
        <v>6.4889229343629342E-5</v>
      </c>
      <c r="J256" s="1">
        <f t="shared" si="120"/>
        <v>6.6499999999999999E-7</v>
      </c>
      <c r="K256" s="1">
        <f t="shared" si="121"/>
        <v>1.3300000000000001E-4</v>
      </c>
      <c r="L256" s="43">
        <f t="shared" si="136"/>
        <v>2.3919691119691117E-4</v>
      </c>
      <c r="M256" s="43">
        <f t="shared" si="137"/>
        <v>1.1660849420849419E-4</v>
      </c>
      <c r="N256" s="43">
        <f t="shared" si="138"/>
        <v>1.5946460746460746E-6</v>
      </c>
      <c r="O256" s="43">
        <f t="shared" si="139"/>
        <v>1.0903898856840032E-2</v>
      </c>
      <c r="P256" s="43">
        <f t="shared" si="140"/>
        <v>0.13059096070860773</v>
      </c>
      <c r="Q256" s="43">
        <v>241.36</v>
      </c>
      <c r="R256" s="43">
        <f t="shared" si="141"/>
        <v>5.1444923915512156E-2</v>
      </c>
      <c r="S256" s="43">
        <f t="shared" si="142"/>
        <v>6.2789189189189187</v>
      </c>
      <c r="T256" s="43">
        <f t="shared" si="143"/>
        <v>12.557837837837837</v>
      </c>
      <c r="U256" s="43">
        <f t="shared" si="144"/>
        <v>3.1711711711711709E-5</v>
      </c>
      <c r="V256" s="43">
        <f t="shared" si="145"/>
        <v>1.9933075933075932E-6</v>
      </c>
      <c r="W256" s="43">
        <f t="shared" si="146"/>
        <v>2.2651222651222648E-5</v>
      </c>
      <c r="X256" s="43">
        <f t="shared" si="147"/>
        <v>2.2651222651222648E-14</v>
      </c>
      <c r="Y256" s="205">
        <f t="shared" si="148"/>
        <v>28.502113611514872</v>
      </c>
    </row>
    <row r="257" spans="1:25">
      <c r="A257" s="47" t="s">
        <v>934</v>
      </c>
      <c r="D257">
        <v>100</v>
      </c>
      <c r="E257">
        <v>3</v>
      </c>
      <c r="F257" s="47">
        <v>1.1000000000000001</v>
      </c>
      <c r="G257" s="47">
        <v>1.5</v>
      </c>
      <c r="H257" s="1">
        <f t="shared" si="135"/>
        <v>1.9689999999999999E-4</v>
      </c>
      <c r="I257" s="43">
        <f t="shared" si="119"/>
        <v>6.4889229343629342E-5</v>
      </c>
      <c r="J257" s="1">
        <f t="shared" si="120"/>
        <v>1.463E-6</v>
      </c>
      <c r="K257" s="1">
        <f t="shared" si="121"/>
        <v>2.9260000000000006E-4</v>
      </c>
      <c r="L257" s="43">
        <f t="shared" si="136"/>
        <v>2.3919691119691117E-4</v>
      </c>
      <c r="M257" s="43">
        <f t="shared" si="137"/>
        <v>1.1660849420849419E-4</v>
      </c>
      <c r="N257" s="43">
        <f t="shared" si="138"/>
        <v>1.5946460746460746E-6</v>
      </c>
      <c r="O257" s="43">
        <f t="shared" si="139"/>
        <v>1.0903898856840032E-2</v>
      </c>
      <c r="P257" s="43">
        <f t="shared" si="140"/>
        <v>0.13059096070860773</v>
      </c>
      <c r="Q257" s="43">
        <v>242.36</v>
      </c>
      <c r="R257" s="43">
        <f t="shared" si="141"/>
        <v>5.1444923915512156E-2</v>
      </c>
      <c r="S257" s="43">
        <f t="shared" si="142"/>
        <v>6.2789189189189187</v>
      </c>
      <c r="T257" s="43">
        <f t="shared" si="143"/>
        <v>12.557837837837837</v>
      </c>
      <c r="U257" s="43">
        <f t="shared" si="144"/>
        <v>3.1711711711711709E-5</v>
      </c>
      <c r="V257" s="43">
        <f t="shared" si="145"/>
        <v>1.9933075933075932E-6</v>
      </c>
      <c r="W257" s="43">
        <f t="shared" si="146"/>
        <v>2.2651222651222648E-5</v>
      </c>
      <c r="X257" s="43">
        <f t="shared" si="147"/>
        <v>2.2651222651222648E-14</v>
      </c>
      <c r="Y257" s="205">
        <f t="shared" si="148"/>
        <v>35.27070861151487</v>
      </c>
    </row>
    <row r="258" spans="1:25">
      <c r="A258" s="47" t="s">
        <v>935</v>
      </c>
      <c r="D258">
        <v>100</v>
      </c>
      <c r="E258">
        <v>3</v>
      </c>
      <c r="F258" s="47">
        <v>1</v>
      </c>
      <c r="G258" s="47">
        <v>1.5</v>
      </c>
      <c r="H258" s="1">
        <f t="shared" si="135"/>
        <v>1.7899999999999999E-4</v>
      </c>
      <c r="I258" s="43">
        <f t="shared" si="119"/>
        <v>6.4889229343629342E-5</v>
      </c>
      <c r="J258" s="1">
        <f t="shared" si="120"/>
        <v>1.33E-6</v>
      </c>
      <c r="K258" s="1">
        <f t="shared" si="121"/>
        <v>2.6600000000000001E-4</v>
      </c>
      <c r="L258" s="43">
        <f t="shared" si="136"/>
        <v>2.3919691119691117E-4</v>
      </c>
      <c r="M258" s="43">
        <f t="shared" si="137"/>
        <v>1.1660849420849419E-4</v>
      </c>
      <c r="N258" s="43">
        <f t="shared" si="138"/>
        <v>1.5946460746460746E-6</v>
      </c>
      <c r="O258" s="43">
        <f t="shared" si="139"/>
        <v>1.0903898856840032E-2</v>
      </c>
      <c r="P258" s="43">
        <f t="shared" si="140"/>
        <v>0.13059096070860773</v>
      </c>
      <c r="Q258" s="43">
        <v>243.36</v>
      </c>
      <c r="R258" s="43">
        <f t="shared" si="141"/>
        <v>5.1444923915512156E-2</v>
      </c>
      <c r="S258" s="43">
        <f t="shared" si="142"/>
        <v>6.2789189189189187</v>
      </c>
      <c r="T258" s="43">
        <f t="shared" si="143"/>
        <v>12.557837837837837</v>
      </c>
      <c r="U258" s="43">
        <f t="shared" si="144"/>
        <v>3.1711711711711709E-5</v>
      </c>
      <c r="V258" s="43">
        <f t="shared" si="145"/>
        <v>1.9933075933075932E-6</v>
      </c>
      <c r="W258" s="43">
        <f t="shared" si="146"/>
        <v>2.2651222651222648E-5</v>
      </c>
      <c r="X258" s="43">
        <f t="shared" si="147"/>
        <v>2.2651222651222648E-14</v>
      </c>
      <c r="Y258" s="205">
        <f t="shared" si="148"/>
        <v>34.189276111514872</v>
      </c>
    </row>
    <row r="259" spans="1:25">
      <c r="A259" s="47" t="s">
        <v>936</v>
      </c>
      <c r="D259">
        <v>100</v>
      </c>
      <c r="E259">
        <v>3</v>
      </c>
      <c r="F259" s="47">
        <v>0.9</v>
      </c>
      <c r="G259" s="47">
        <v>1.5</v>
      </c>
      <c r="H259" s="1">
        <f t="shared" si="135"/>
        <v>1.6109999999999999E-4</v>
      </c>
      <c r="I259" s="43">
        <f t="shared" si="119"/>
        <v>6.4889229343629342E-5</v>
      </c>
      <c r="J259" s="1">
        <f t="shared" si="120"/>
        <v>1.1969999999999999E-6</v>
      </c>
      <c r="K259" s="1">
        <f t="shared" si="121"/>
        <v>2.3940000000000002E-4</v>
      </c>
      <c r="L259" s="43">
        <f t="shared" si="136"/>
        <v>2.3919691119691117E-4</v>
      </c>
      <c r="M259" s="43">
        <f t="shared" si="137"/>
        <v>1.1660849420849419E-4</v>
      </c>
      <c r="N259" s="43">
        <f t="shared" si="138"/>
        <v>1.5946460746460746E-6</v>
      </c>
      <c r="O259" s="43">
        <f t="shared" si="139"/>
        <v>1.0903898856840032E-2</v>
      </c>
      <c r="P259" s="43">
        <f t="shared" si="140"/>
        <v>0.13059096070860773</v>
      </c>
      <c r="Q259" s="43">
        <v>244.36</v>
      </c>
      <c r="R259" s="43">
        <f t="shared" si="141"/>
        <v>5.1444923915512156E-2</v>
      </c>
      <c r="S259" s="43">
        <f t="shared" si="142"/>
        <v>6.2789189189189187</v>
      </c>
      <c r="T259" s="43">
        <f t="shared" si="143"/>
        <v>12.557837837837837</v>
      </c>
      <c r="U259" s="43">
        <f t="shared" si="144"/>
        <v>3.1711711711711709E-5</v>
      </c>
      <c r="V259" s="43">
        <f t="shared" si="145"/>
        <v>1.9933075933075932E-6</v>
      </c>
      <c r="W259" s="43">
        <f t="shared" si="146"/>
        <v>2.2651222651222648E-5</v>
      </c>
      <c r="X259" s="43">
        <f t="shared" si="147"/>
        <v>2.2651222651222648E-14</v>
      </c>
      <c r="Y259" s="205">
        <f t="shared" si="148"/>
        <v>33.107843611514873</v>
      </c>
    </row>
    <row r="260" spans="1:25">
      <c r="A260" s="47" t="s">
        <v>937</v>
      </c>
      <c r="D260">
        <v>100</v>
      </c>
      <c r="E260">
        <v>3</v>
      </c>
      <c r="F260" s="47">
        <v>0.5</v>
      </c>
      <c r="G260" s="47">
        <v>2</v>
      </c>
      <c r="H260" s="1">
        <f t="shared" si="135"/>
        <v>8.9499999999999994E-5</v>
      </c>
      <c r="I260" s="43">
        <f t="shared" ref="I260:I287" si="149">charco2yoll*D260</f>
        <v>6.4889229343629342E-5</v>
      </c>
      <c r="J260" s="1">
        <f t="shared" si="120"/>
        <v>6.6499999999999999E-7</v>
      </c>
      <c r="K260" s="1">
        <f t="shared" si="121"/>
        <v>1.3300000000000001E-4</v>
      </c>
      <c r="L260" s="43">
        <f t="shared" si="136"/>
        <v>2.3919691119691117E-4</v>
      </c>
      <c r="M260" s="43">
        <f t="shared" si="137"/>
        <v>1.1660849420849419E-4</v>
      </c>
      <c r="N260" s="43">
        <f t="shared" si="138"/>
        <v>1.5946460746460746E-6</v>
      </c>
      <c r="O260" s="43">
        <f t="shared" si="139"/>
        <v>1.0903898856840032E-2</v>
      </c>
      <c r="P260" s="43">
        <f t="shared" si="140"/>
        <v>0.13059096070860773</v>
      </c>
      <c r="Q260" s="43">
        <v>245.36</v>
      </c>
      <c r="R260" s="43">
        <f t="shared" si="141"/>
        <v>5.1444923915512156E-2</v>
      </c>
      <c r="S260" s="43">
        <f t="shared" si="142"/>
        <v>6.2789189189189187</v>
      </c>
      <c r="T260" s="43">
        <f t="shared" si="143"/>
        <v>12.557837837837837</v>
      </c>
      <c r="U260" s="43">
        <f t="shared" si="144"/>
        <v>3.1711711711711709E-5</v>
      </c>
      <c r="V260" s="43">
        <f t="shared" si="145"/>
        <v>1.9933075933075932E-6</v>
      </c>
      <c r="W260" s="43">
        <f t="shared" si="146"/>
        <v>2.2651222651222648E-5</v>
      </c>
      <c r="X260" s="43">
        <f t="shared" si="147"/>
        <v>2.2651222651222648E-14</v>
      </c>
      <c r="Y260" s="205">
        <f t="shared" si="148"/>
        <v>28.662113611514876</v>
      </c>
    </row>
    <row r="261" spans="1:25">
      <c r="A261" s="47" t="s">
        <v>938</v>
      </c>
      <c r="D261">
        <v>100</v>
      </c>
      <c r="E261">
        <v>3</v>
      </c>
      <c r="F261" s="47">
        <v>0.8</v>
      </c>
      <c r="G261" s="47">
        <v>2</v>
      </c>
      <c r="H261" s="1">
        <f t="shared" si="135"/>
        <v>1.4319999999999998E-4</v>
      </c>
      <c r="I261" s="43">
        <f t="shared" si="149"/>
        <v>6.4889229343629342E-5</v>
      </c>
      <c r="J261" s="1">
        <f t="shared" ref="J261:J287" si="150">F261*0.00000133</f>
        <v>1.0640000000000001E-6</v>
      </c>
      <c r="K261" s="1">
        <f t="shared" ref="K261:K287" si="151">F261*0.000266</f>
        <v>2.1280000000000002E-4</v>
      </c>
      <c r="L261" s="43">
        <f t="shared" si="136"/>
        <v>2.3919691119691117E-4</v>
      </c>
      <c r="M261" s="43">
        <f t="shared" si="137"/>
        <v>1.1660849420849419E-4</v>
      </c>
      <c r="N261" s="43">
        <f t="shared" si="138"/>
        <v>1.5946460746460746E-6</v>
      </c>
      <c r="O261" s="43">
        <f t="shared" si="139"/>
        <v>1.0903898856840032E-2</v>
      </c>
      <c r="P261" s="43">
        <f t="shared" si="140"/>
        <v>0.13059096070860773</v>
      </c>
      <c r="Q261" s="43">
        <v>246.36</v>
      </c>
      <c r="R261" s="43">
        <f t="shared" si="141"/>
        <v>5.1444923915512156E-2</v>
      </c>
      <c r="S261" s="43">
        <f t="shared" si="142"/>
        <v>6.2789189189189187</v>
      </c>
      <c r="T261" s="43">
        <f t="shared" si="143"/>
        <v>12.557837837837837</v>
      </c>
      <c r="U261" s="43">
        <f t="shared" si="144"/>
        <v>3.1711711711711709E-5</v>
      </c>
      <c r="V261" s="43">
        <f t="shared" si="145"/>
        <v>1.9933075933075932E-6</v>
      </c>
      <c r="W261" s="43">
        <f t="shared" si="146"/>
        <v>2.2651222651222648E-5</v>
      </c>
      <c r="X261" s="43">
        <f t="shared" si="147"/>
        <v>2.2651222651222648E-14</v>
      </c>
      <c r="Y261" s="205">
        <f t="shared" si="148"/>
        <v>32.066411111514874</v>
      </c>
    </row>
    <row r="262" spans="1:25">
      <c r="A262" s="47" t="s">
        <v>939</v>
      </c>
      <c r="D262">
        <v>100</v>
      </c>
      <c r="E262">
        <v>3</v>
      </c>
      <c r="F262" s="47">
        <v>1.1000000000000001</v>
      </c>
      <c r="G262" s="47">
        <v>1.5</v>
      </c>
      <c r="H262" s="1">
        <f t="shared" si="135"/>
        <v>1.9689999999999999E-4</v>
      </c>
      <c r="I262" s="43">
        <f t="shared" si="149"/>
        <v>6.4889229343629342E-5</v>
      </c>
      <c r="J262" s="1">
        <f t="shared" si="150"/>
        <v>1.463E-6</v>
      </c>
      <c r="K262" s="1">
        <f t="shared" si="151"/>
        <v>2.9260000000000006E-4</v>
      </c>
      <c r="L262" s="43">
        <f t="shared" si="136"/>
        <v>2.3919691119691117E-4</v>
      </c>
      <c r="M262" s="43">
        <f t="shared" si="137"/>
        <v>1.1660849420849419E-4</v>
      </c>
      <c r="N262" s="43">
        <f t="shared" si="138"/>
        <v>1.5946460746460746E-6</v>
      </c>
      <c r="O262" s="43">
        <f t="shared" si="139"/>
        <v>1.0903898856840032E-2</v>
      </c>
      <c r="P262" s="43">
        <f t="shared" si="140"/>
        <v>0.13059096070860773</v>
      </c>
      <c r="Q262" s="43">
        <v>247.36</v>
      </c>
      <c r="R262" s="43">
        <f t="shared" si="141"/>
        <v>5.1444923915512156E-2</v>
      </c>
      <c r="S262" s="43">
        <f t="shared" si="142"/>
        <v>6.2789189189189187</v>
      </c>
      <c r="T262" s="43">
        <f t="shared" si="143"/>
        <v>12.557837837837837</v>
      </c>
      <c r="U262" s="43">
        <f t="shared" si="144"/>
        <v>3.1711711711711709E-5</v>
      </c>
      <c r="V262" s="43">
        <f t="shared" si="145"/>
        <v>1.9933075933075932E-6</v>
      </c>
      <c r="W262" s="43">
        <f t="shared" si="146"/>
        <v>2.2651222651222648E-5</v>
      </c>
      <c r="X262" s="43">
        <f t="shared" si="147"/>
        <v>2.2651222651222648E-14</v>
      </c>
      <c r="Y262" s="205">
        <f t="shared" si="148"/>
        <v>35.470708611514873</v>
      </c>
    </row>
    <row r="263" spans="1:25">
      <c r="A263" s="47" t="s">
        <v>940</v>
      </c>
      <c r="D263">
        <v>100</v>
      </c>
      <c r="E263">
        <v>3</v>
      </c>
      <c r="F263" s="47">
        <v>0.8</v>
      </c>
      <c r="G263" s="47">
        <v>2</v>
      </c>
      <c r="H263" s="1">
        <f t="shared" si="135"/>
        <v>1.4319999999999998E-4</v>
      </c>
      <c r="I263" s="43">
        <f t="shared" si="149"/>
        <v>6.4889229343629342E-5</v>
      </c>
      <c r="J263" s="1">
        <f t="shared" si="150"/>
        <v>1.0640000000000001E-6</v>
      </c>
      <c r="K263" s="1">
        <f t="shared" si="151"/>
        <v>2.1280000000000002E-4</v>
      </c>
      <c r="L263" s="43">
        <f t="shared" si="136"/>
        <v>2.3919691119691117E-4</v>
      </c>
      <c r="M263" s="43">
        <f t="shared" si="137"/>
        <v>1.1660849420849419E-4</v>
      </c>
      <c r="N263" s="43">
        <f t="shared" si="138"/>
        <v>1.5946460746460746E-6</v>
      </c>
      <c r="O263" s="43">
        <f t="shared" si="139"/>
        <v>1.0903898856840032E-2</v>
      </c>
      <c r="P263" s="43">
        <f t="shared" si="140"/>
        <v>0.13059096070860773</v>
      </c>
      <c r="Q263" s="43">
        <v>248.36</v>
      </c>
      <c r="R263" s="43">
        <f t="shared" si="141"/>
        <v>5.1444923915512156E-2</v>
      </c>
      <c r="S263" s="43">
        <f t="shared" si="142"/>
        <v>6.2789189189189187</v>
      </c>
      <c r="T263" s="43">
        <f t="shared" si="143"/>
        <v>12.557837837837837</v>
      </c>
      <c r="U263" s="43">
        <f t="shared" si="144"/>
        <v>3.1711711711711709E-5</v>
      </c>
      <c r="V263" s="43">
        <f t="shared" si="145"/>
        <v>1.9933075933075932E-6</v>
      </c>
      <c r="W263" s="43">
        <f t="shared" si="146"/>
        <v>2.2651222651222648E-5</v>
      </c>
      <c r="X263" s="43">
        <f t="shared" si="147"/>
        <v>2.2651222651222648E-14</v>
      </c>
      <c r="Y263" s="205">
        <f t="shared" si="148"/>
        <v>32.146411111514873</v>
      </c>
    </row>
    <row r="264" spans="1:25">
      <c r="A264" s="47" t="s">
        <v>941</v>
      </c>
      <c r="D264">
        <v>100</v>
      </c>
      <c r="E264">
        <v>3</v>
      </c>
      <c r="F264" s="47">
        <v>0.6</v>
      </c>
      <c r="G264" s="47">
        <v>2</v>
      </c>
      <c r="H264" s="1">
        <f t="shared" si="135"/>
        <v>1.0739999999999999E-4</v>
      </c>
      <c r="I264" s="43">
        <f t="shared" si="149"/>
        <v>6.4889229343629342E-5</v>
      </c>
      <c r="J264" s="1">
        <f t="shared" si="150"/>
        <v>7.9799999999999992E-7</v>
      </c>
      <c r="K264" s="1">
        <f t="shared" si="151"/>
        <v>1.596E-4</v>
      </c>
      <c r="L264" s="43">
        <f t="shared" si="136"/>
        <v>2.3919691119691117E-4</v>
      </c>
      <c r="M264" s="43">
        <f t="shared" si="137"/>
        <v>1.1660849420849419E-4</v>
      </c>
      <c r="N264" s="43">
        <f t="shared" si="138"/>
        <v>1.5946460746460746E-6</v>
      </c>
      <c r="O264" s="43">
        <f t="shared" si="139"/>
        <v>1.0903898856840032E-2</v>
      </c>
      <c r="P264" s="43">
        <f t="shared" si="140"/>
        <v>0.13059096070860773</v>
      </c>
      <c r="Q264" s="43">
        <v>249.36</v>
      </c>
      <c r="R264" s="43">
        <f t="shared" si="141"/>
        <v>5.1444923915512156E-2</v>
      </c>
      <c r="S264" s="43">
        <f t="shared" si="142"/>
        <v>6.2789189189189187</v>
      </c>
      <c r="T264" s="43">
        <f t="shared" si="143"/>
        <v>12.557837837837837</v>
      </c>
      <c r="U264" s="43">
        <f t="shared" si="144"/>
        <v>3.1711711711711709E-5</v>
      </c>
      <c r="V264" s="43">
        <f t="shared" si="145"/>
        <v>1.9933075933075932E-6</v>
      </c>
      <c r="W264" s="43">
        <f t="shared" si="146"/>
        <v>2.2651222651222648E-5</v>
      </c>
      <c r="X264" s="43">
        <f t="shared" si="147"/>
        <v>2.2651222651222648E-14</v>
      </c>
      <c r="Y264" s="205">
        <f t="shared" si="148"/>
        <v>29.943546111514877</v>
      </c>
    </row>
    <row r="265" spans="1:25">
      <c r="A265" s="47" t="s">
        <v>942</v>
      </c>
      <c r="D265">
        <v>100</v>
      </c>
      <c r="E265">
        <v>3</v>
      </c>
      <c r="F265" s="47">
        <v>0.08</v>
      </c>
      <c r="G265" s="47">
        <v>1.5</v>
      </c>
      <c r="H265" s="1">
        <f t="shared" si="135"/>
        <v>1.4319999999999998E-5</v>
      </c>
      <c r="I265" s="43">
        <f t="shared" si="149"/>
        <v>6.4889229343629342E-5</v>
      </c>
      <c r="J265" s="1">
        <f t="shared" si="150"/>
        <v>1.064E-7</v>
      </c>
      <c r="K265" s="1">
        <f t="shared" si="151"/>
        <v>2.1280000000000003E-5</v>
      </c>
      <c r="L265" s="43">
        <f t="shared" si="136"/>
        <v>2.3919691119691117E-4</v>
      </c>
      <c r="M265" s="43">
        <f t="shared" si="137"/>
        <v>1.1660849420849419E-4</v>
      </c>
      <c r="N265" s="43">
        <f t="shared" si="138"/>
        <v>1.5946460746460746E-6</v>
      </c>
      <c r="O265" s="43">
        <f t="shared" si="139"/>
        <v>1.0903898856840032E-2</v>
      </c>
      <c r="P265" s="43">
        <f t="shared" si="140"/>
        <v>0.13059096070860773</v>
      </c>
      <c r="Q265" s="43">
        <v>250.36</v>
      </c>
      <c r="R265" s="43">
        <f t="shared" si="141"/>
        <v>5.1444923915512156E-2</v>
      </c>
      <c r="S265" s="43">
        <f t="shared" si="142"/>
        <v>6.2789189189189187</v>
      </c>
      <c r="T265" s="43">
        <f t="shared" si="143"/>
        <v>12.557837837837837</v>
      </c>
      <c r="U265" s="43">
        <f t="shared" si="144"/>
        <v>3.1711711711711709E-5</v>
      </c>
      <c r="V265" s="43">
        <f t="shared" si="145"/>
        <v>1.9933075933075932E-6</v>
      </c>
      <c r="W265" s="43">
        <f t="shared" si="146"/>
        <v>2.2651222651222648E-5</v>
      </c>
      <c r="X265" s="43">
        <f t="shared" si="147"/>
        <v>2.2651222651222648E-14</v>
      </c>
      <c r="Y265" s="205">
        <f t="shared" si="148"/>
        <v>24.152097111514877</v>
      </c>
    </row>
    <row r="266" spans="1:25">
      <c r="A266" s="47" t="s">
        <v>943</v>
      </c>
      <c r="D266">
        <v>100</v>
      </c>
      <c r="E266">
        <v>3</v>
      </c>
      <c r="F266" s="47">
        <v>0.9</v>
      </c>
      <c r="G266" s="47">
        <v>2</v>
      </c>
      <c r="H266" s="1">
        <f t="shared" si="135"/>
        <v>1.6109999999999999E-4</v>
      </c>
      <c r="I266" s="43">
        <f t="shared" si="149"/>
        <v>6.4889229343629342E-5</v>
      </c>
      <c r="J266" s="1">
        <f t="shared" si="150"/>
        <v>1.1969999999999999E-6</v>
      </c>
      <c r="K266" s="1">
        <f t="shared" si="151"/>
        <v>2.3940000000000002E-4</v>
      </c>
      <c r="L266" s="43">
        <f t="shared" si="136"/>
        <v>2.3919691119691117E-4</v>
      </c>
      <c r="M266" s="43">
        <f t="shared" si="137"/>
        <v>1.1660849420849419E-4</v>
      </c>
      <c r="N266" s="43">
        <f t="shared" si="138"/>
        <v>1.5946460746460746E-6</v>
      </c>
      <c r="O266" s="43">
        <f t="shared" si="139"/>
        <v>1.0903898856840032E-2</v>
      </c>
      <c r="P266" s="43">
        <f t="shared" si="140"/>
        <v>0.13059096070860773</v>
      </c>
      <c r="Q266" s="43">
        <v>251.36</v>
      </c>
      <c r="R266" s="43">
        <f t="shared" si="141"/>
        <v>5.1444923915512156E-2</v>
      </c>
      <c r="S266" s="43">
        <f t="shared" si="142"/>
        <v>6.2789189189189187</v>
      </c>
      <c r="T266" s="43">
        <f t="shared" si="143"/>
        <v>12.557837837837837</v>
      </c>
      <c r="U266" s="43">
        <f t="shared" si="144"/>
        <v>3.1711711711711709E-5</v>
      </c>
      <c r="V266" s="43">
        <f t="shared" si="145"/>
        <v>1.9933075933075932E-6</v>
      </c>
      <c r="W266" s="43">
        <f t="shared" si="146"/>
        <v>2.2651222651222648E-5</v>
      </c>
      <c r="X266" s="43">
        <f t="shared" si="147"/>
        <v>2.2651222651222648E-14</v>
      </c>
      <c r="Y266" s="205">
        <f t="shared" si="148"/>
        <v>33.387843611514874</v>
      </c>
    </row>
    <row r="267" spans="1:25">
      <c r="A267" s="47" t="s">
        <v>944</v>
      </c>
      <c r="D267">
        <v>100</v>
      </c>
      <c r="E267">
        <v>3</v>
      </c>
      <c r="F267" s="47">
        <v>1</v>
      </c>
      <c r="G267" s="47">
        <v>2</v>
      </c>
      <c r="H267" s="1">
        <f t="shared" si="135"/>
        <v>1.7899999999999999E-4</v>
      </c>
      <c r="I267" s="43">
        <f t="shared" si="149"/>
        <v>6.4889229343629342E-5</v>
      </c>
      <c r="J267" s="1">
        <f t="shared" si="150"/>
        <v>1.33E-6</v>
      </c>
      <c r="K267" s="1">
        <f t="shared" si="151"/>
        <v>2.6600000000000001E-4</v>
      </c>
      <c r="L267" s="43">
        <f t="shared" si="136"/>
        <v>2.3919691119691117E-4</v>
      </c>
      <c r="M267" s="43">
        <f t="shared" si="137"/>
        <v>1.1660849420849419E-4</v>
      </c>
      <c r="N267" s="43">
        <f t="shared" si="138"/>
        <v>1.5946460746460746E-6</v>
      </c>
      <c r="O267" s="43">
        <f t="shared" si="139"/>
        <v>1.0903898856840032E-2</v>
      </c>
      <c r="P267" s="43">
        <f t="shared" si="140"/>
        <v>0.13059096070860773</v>
      </c>
      <c r="Q267" s="43">
        <v>252.36</v>
      </c>
      <c r="R267" s="43">
        <f t="shared" si="141"/>
        <v>5.1444923915512156E-2</v>
      </c>
      <c r="S267" s="43">
        <f t="shared" si="142"/>
        <v>6.2789189189189187</v>
      </c>
      <c r="T267" s="43">
        <f t="shared" si="143"/>
        <v>12.557837837837837</v>
      </c>
      <c r="U267" s="43">
        <f t="shared" si="144"/>
        <v>3.1711711711711709E-5</v>
      </c>
      <c r="V267" s="43">
        <f t="shared" si="145"/>
        <v>1.9933075933075932E-6</v>
      </c>
      <c r="W267" s="43">
        <f t="shared" si="146"/>
        <v>2.2651222651222648E-5</v>
      </c>
      <c r="X267" s="43">
        <f t="shared" si="147"/>
        <v>2.2651222651222648E-14</v>
      </c>
      <c r="Y267" s="205">
        <f t="shared" si="148"/>
        <v>34.549276111514871</v>
      </c>
    </row>
    <row r="268" spans="1:25">
      <c r="A268" s="47" t="s">
        <v>945</v>
      </c>
      <c r="D268">
        <v>100</v>
      </c>
      <c r="E268">
        <v>3</v>
      </c>
      <c r="F268" s="47">
        <v>1</v>
      </c>
      <c r="G268" s="47">
        <v>2</v>
      </c>
      <c r="H268" s="1">
        <f t="shared" si="135"/>
        <v>1.7899999999999999E-4</v>
      </c>
      <c r="I268" s="43">
        <f t="shared" si="149"/>
        <v>6.4889229343629342E-5</v>
      </c>
      <c r="J268" s="1">
        <f t="shared" si="150"/>
        <v>1.33E-6</v>
      </c>
      <c r="K268" s="1">
        <f t="shared" si="151"/>
        <v>2.6600000000000001E-4</v>
      </c>
      <c r="L268" s="43">
        <f t="shared" si="136"/>
        <v>2.3919691119691117E-4</v>
      </c>
      <c r="M268" s="43">
        <f t="shared" si="137"/>
        <v>1.1660849420849419E-4</v>
      </c>
      <c r="N268" s="43">
        <f t="shared" si="138"/>
        <v>1.5946460746460746E-6</v>
      </c>
      <c r="O268" s="43">
        <f t="shared" si="139"/>
        <v>1.0903898856840032E-2</v>
      </c>
      <c r="P268" s="43">
        <f t="shared" si="140"/>
        <v>0.13059096070860773</v>
      </c>
      <c r="Q268" s="43">
        <v>253.36</v>
      </c>
      <c r="R268" s="43">
        <f t="shared" si="141"/>
        <v>5.1444923915512156E-2</v>
      </c>
      <c r="S268" s="43">
        <f t="shared" si="142"/>
        <v>6.2789189189189187</v>
      </c>
      <c r="T268" s="43">
        <f t="shared" si="143"/>
        <v>12.557837837837837</v>
      </c>
      <c r="U268" s="43">
        <f t="shared" si="144"/>
        <v>3.1711711711711709E-5</v>
      </c>
      <c r="V268" s="43">
        <f t="shared" si="145"/>
        <v>1.9933075933075932E-6</v>
      </c>
      <c r="W268" s="43">
        <f t="shared" si="146"/>
        <v>2.2651222651222648E-5</v>
      </c>
      <c r="X268" s="43">
        <f t="shared" si="147"/>
        <v>2.2651222651222648E-14</v>
      </c>
      <c r="Y268" s="205">
        <f t="shared" si="148"/>
        <v>34.589276111514877</v>
      </c>
    </row>
    <row r="269" spans="1:25">
      <c r="A269" s="47" t="s">
        <v>946</v>
      </c>
      <c r="D269">
        <v>100</v>
      </c>
      <c r="E269">
        <v>3</v>
      </c>
      <c r="F269" s="47">
        <v>1.3</v>
      </c>
      <c r="G269" s="47">
        <v>2</v>
      </c>
      <c r="H269" s="1">
        <f t="shared" si="135"/>
        <v>2.3269999999999999E-4</v>
      </c>
      <c r="I269" s="43">
        <f t="shared" si="149"/>
        <v>6.4889229343629342E-5</v>
      </c>
      <c r="J269" s="1">
        <f t="shared" si="150"/>
        <v>1.7290000000000001E-6</v>
      </c>
      <c r="K269" s="1">
        <f t="shared" si="151"/>
        <v>3.4580000000000006E-4</v>
      </c>
      <c r="L269" s="43">
        <f t="shared" si="136"/>
        <v>2.3919691119691117E-4</v>
      </c>
      <c r="M269" s="43">
        <f t="shared" si="137"/>
        <v>1.1660849420849419E-4</v>
      </c>
      <c r="N269" s="43">
        <f t="shared" si="138"/>
        <v>1.5946460746460746E-6</v>
      </c>
      <c r="O269" s="43">
        <f t="shared" si="139"/>
        <v>1.0903898856840032E-2</v>
      </c>
      <c r="P269" s="43">
        <f t="shared" si="140"/>
        <v>0.13059096070860773</v>
      </c>
      <c r="Q269" s="43">
        <v>254.36</v>
      </c>
      <c r="R269" s="43">
        <f t="shared" si="141"/>
        <v>5.1444923915512156E-2</v>
      </c>
      <c r="S269" s="43">
        <f t="shared" si="142"/>
        <v>6.2789189189189187</v>
      </c>
      <c r="T269" s="43">
        <f t="shared" si="143"/>
        <v>12.557837837837837</v>
      </c>
      <c r="U269" s="43">
        <f t="shared" si="144"/>
        <v>3.1711711711711709E-5</v>
      </c>
      <c r="V269" s="43">
        <f t="shared" si="145"/>
        <v>1.9933075933075932E-6</v>
      </c>
      <c r="W269" s="43">
        <f t="shared" si="146"/>
        <v>2.2651222651222648E-5</v>
      </c>
      <c r="X269" s="43">
        <f t="shared" si="147"/>
        <v>2.2651222651222648E-14</v>
      </c>
      <c r="Y269" s="205">
        <f t="shared" si="148"/>
        <v>37.993573611514876</v>
      </c>
    </row>
    <row r="270" spans="1:25">
      <c r="A270" s="47" t="s">
        <v>947</v>
      </c>
      <c r="D270">
        <v>100</v>
      </c>
      <c r="E270">
        <v>3</v>
      </c>
      <c r="F270" s="47">
        <v>1.4</v>
      </c>
      <c r="G270" s="47">
        <v>1.5</v>
      </c>
      <c r="H270" s="1">
        <f t="shared" si="135"/>
        <v>2.5059999999999997E-4</v>
      </c>
      <c r="I270" s="43">
        <f t="shared" si="149"/>
        <v>6.4889229343629342E-5</v>
      </c>
      <c r="J270" s="1">
        <f t="shared" si="150"/>
        <v>1.8619999999999999E-6</v>
      </c>
      <c r="K270" s="1">
        <f t="shared" si="151"/>
        <v>3.724E-4</v>
      </c>
      <c r="L270" s="43">
        <f t="shared" si="136"/>
        <v>2.3919691119691117E-4</v>
      </c>
      <c r="M270" s="43">
        <f t="shared" si="137"/>
        <v>1.1660849420849419E-4</v>
      </c>
      <c r="N270" s="43">
        <f t="shared" si="138"/>
        <v>1.5946460746460746E-6</v>
      </c>
      <c r="O270" s="43">
        <f t="shared" si="139"/>
        <v>1.0903898856840032E-2</v>
      </c>
      <c r="P270" s="43">
        <f t="shared" si="140"/>
        <v>0.13059096070860773</v>
      </c>
      <c r="Q270" s="43">
        <v>255.36</v>
      </c>
      <c r="R270" s="43">
        <f t="shared" si="141"/>
        <v>5.1444923915512156E-2</v>
      </c>
      <c r="S270" s="43">
        <f t="shared" si="142"/>
        <v>6.2789189189189187</v>
      </c>
      <c r="T270" s="43">
        <f t="shared" si="143"/>
        <v>12.557837837837837</v>
      </c>
      <c r="U270" s="43">
        <f t="shared" si="144"/>
        <v>3.1711711711711709E-5</v>
      </c>
      <c r="V270" s="43">
        <f t="shared" si="145"/>
        <v>1.9933075933075932E-6</v>
      </c>
      <c r="W270" s="43">
        <f t="shared" si="146"/>
        <v>2.2651222651222648E-5</v>
      </c>
      <c r="X270" s="43">
        <f t="shared" si="147"/>
        <v>2.2651222651222648E-14</v>
      </c>
      <c r="Y270" s="205">
        <f t="shared" si="148"/>
        <v>39.155006111514872</v>
      </c>
    </row>
    <row r="271" spans="1:25">
      <c r="A271" s="47" t="s">
        <v>948</v>
      </c>
      <c r="D271">
        <v>100</v>
      </c>
      <c r="E271">
        <v>3</v>
      </c>
      <c r="F271" s="47">
        <v>2</v>
      </c>
      <c r="G271" s="47">
        <v>2</v>
      </c>
      <c r="H271" s="1">
        <f t="shared" si="135"/>
        <v>3.5799999999999997E-4</v>
      </c>
      <c r="I271" s="43">
        <f t="shared" si="149"/>
        <v>6.4889229343629342E-5</v>
      </c>
      <c r="J271" s="1">
        <f t="shared" si="150"/>
        <v>2.6599999999999999E-6</v>
      </c>
      <c r="K271" s="1">
        <f t="shared" si="151"/>
        <v>5.3200000000000003E-4</v>
      </c>
      <c r="L271" s="43">
        <f t="shared" si="136"/>
        <v>2.3919691119691117E-4</v>
      </c>
      <c r="M271" s="43">
        <f t="shared" si="137"/>
        <v>1.1660849420849419E-4</v>
      </c>
      <c r="N271" s="43">
        <f t="shared" si="138"/>
        <v>1.5946460746460746E-6</v>
      </c>
      <c r="O271" s="43">
        <f t="shared" si="139"/>
        <v>1.0903898856840032E-2</v>
      </c>
      <c r="P271" s="43">
        <f t="shared" si="140"/>
        <v>0.13059096070860773</v>
      </c>
      <c r="Q271" s="43">
        <v>256.36</v>
      </c>
      <c r="R271" s="43">
        <f t="shared" si="141"/>
        <v>5.1444923915512156E-2</v>
      </c>
      <c r="S271" s="43">
        <f t="shared" si="142"/>
        <v>6.2789189189189187</v>
      </c>
      <c r="T271" s="43">
        <f t="shared" si="143"/>
        <v>12.557837837837837</v>
      </c>
      <c r="U271" s="43">
        <f t="shared" si="144"/>
        <v>3.1711711711711709E-5</v>
      </c>
      <c r="V271" s="43">
        <f t="shared" si="145"/>
        <v>1.9933075933075932E-6</v>
      </c>
      <c r="W271" s="43">
        <f t="shared" si="146"/>
        <v>2.2651222651222648E-5</v>
      </c>
      <c r="X271" s="43">
        <f t="shared" si="147"/>
        <v>2.2651222651222648E-14</v>
      </c>
      <c r="Y271" s="205">
        <f t="shared" si="148"/>
        <v>45.92360111151487</v>
      </c>
    </row>
    <row r="272" spans="1:25">
      <c r="A272" s="47" t="s">
        <v>949</v>
      </c>
      <c r="D272">
        <v>100</v>
      </c>
      <c r="E272">
        <v>3</v>
      </c>
      <c r="F272" s="47">
        <v>1</v>
      </c>
      <c r="G272" s="47">
        <v>3</v>
      </c>
      <c r="H272" s="1">
        <f t="shared" si="135"/>
        <v>1.7899999999999999E-4</v>
      </c>
      <c r="I272" s="43">
        <f t="shared" si="149"/>
        <v>6.4889229343629342E-5</v>
      </c>
      <c r="J272" s="1">
        <f t="shared" si="150"/>
        <v>1.33E-6</v>
      </c>
      <c r="K272" s="1">
        <f t="shared" si="151"/>
        <v>2.6600000000000001E-4</v>
      </c>
      <c r="L272" s="43">
        <f t="shared" si="136"/>
        <v>2.3919691119691117E-4</v>
      </c>
      <c r="M272" s="43">
        <f t="shared" si="137"/>
        <v>1.1660849420849419E-4</v>
      </c>
      <c r="N272" s="43">
        <f t="shared" si="138"/>
        <v>1.5946460746460746E-6</v>
      </c>
      <c r="O272" s="43">
        <f t="shared" si="139"/>
        <v>1.0903898856840032E-2</v>
      </c>
      <c r="P272" s="43">
        <f t="shared" si="140"/>
        <v>0.13059096070860773</v>
      </c>
      <c r="Q272" s="43">
        <v>257.36</v>
      </c>
      <c r="R272" s="43">
        <f t="shared" si="141"/>
        <v>5.1444923915512156E-2</v>
      </c>
      <c r="S272" s="43">
        <f t="shared" si="142"/>
        <v>6.2789189189189187</v>
      </c>
      <c r="T272" s="43">
        <f t="shared" si="143"/>
        <v>12.557837837837837</v>
      </c>
      <c r="U272" s="43">
        <f t="shared" si="144"/>
        <v>3.1711711711711709E-5</v>
      </c>
      <c r="V272" s="43">
        <f t="shared" si="145"/>
        <v>1.9933075933075932E-6</v>
      </c>
      <c r="W272" s="43">
        <f t="shared" si="146"/>
        <v>2.2651222651222648E-5</v>
      </c>
      <c r="X272" s="43">
        <f t="shared" si="147"/>
        <v>2.2651222651222648E-14</v>
      </c>
      <c r="Y272" s="205">
        <f t="shared" si="148"/>
        <v>34.749276111514874</v>
      </c>
    </row>
    <row r="273" spans="1:25">
      <c r="A273" s="47" t="s">
        <v>950</v>
      </c>
      <c r="D273">
        <v>100</v>
      </c>
      <c r="E273">
        <v>3</v>
      </c>
      <c r="F273" s="47">
        <v>1.1000000000000001</v>
      </c>
      <c r="G273" s="47">
        <v>2.5</v>
      </c>
      <c r="H273" s="1">
        <f t="shared" si="135"/>
        <v>1.9689999999999999E-4</v>
      </c>
      <c r="I273" s="43">
        <f t="shared" si="149"/>
        <v>6.4889229343629342E-5</v>
      </c>
      <c r="J273" s="1">
        <f t="shared" si="150"/>
        <v>1.463E-6</v>
      </c>
      <c r="K273" s="1">
        <f t="shared" si="151"/>
        <v>2.9260000000000006E-4</v>
      </c>
      <c r="L273" s="43">
        <f t="shared" si="136"/>
        <v>2.3919691119691117E-4</v>
      </c>
      <c r="M273" s="43">
        <f t="shared" si="137"/>
        <v>1.1660849420849419E-4</v>
      </c>
      <c r="N273" s="43">
        <f t="shared" si="138"/>
        <v>1.5946460746460746E-6</v>
      </c>
      <c r="O273" s="43">
        <f t="shared" si="139"/>
        <v>1.0903898856840032E-2</v>
      </c>
      <c r="P273" s="43">
        <f t="shared" si="140"/>
        <v>0.13059096070860773</v>
      </c>
      <c r="Q273" s="43">
        <v>258.36</v>
      </c>
      <c r="R273" s="43">
        <f t="shared" si="141"/>
        <v>5.1444923915512156E-2</v>
      </c>
      <c r="S273" s="43">
        <f t="shared" si="142"/>
        <v>6.2789189189189187</v>
      </c>
      <c r="T273" s="43">
        <f t="shared" si="143"/>
        <v>12.557837837837837</v>
      </c>
      <c r="U273" s="43">
        <f t="shared" si="144"/>
        <v>3.1711711711711709E-5</v>
      </c>
      <c r="V273" s="43">
        <f t="shared" si="145"/>
        <v>1.9933075933075932E-6</v>
      </c>
      <c r="W273" s="43">
        <f t="shared" si="146"/>
        <v>2.2651222651222648E-5</v>
      </c>
      <c r="X273" s="43">
        <f t="shared" si="147"/>
        <v>2.2651222651222648E-14</v>
      </c>
      <c r="Y273" s="205">
        <f t="shared" si="148"/>
        <v>35.91070861151487</v>
      </c>
    </row>
    <row r="274" spans="1:25">
      <c r="A274" s="47" t="s">
        <v>951</v>
      </c>
      <c r="D274">
        <v>100</v>
      </c>
      <c r="E274">
        <v>3</v>
      </c>
      <c r="F274" s="47">
        <v>2.9</v>
      </c>
      <c r="G274" s="47">
        <v>3</v>
      </c>
      <c r="H274" s="1">
        <f t="shared" si="135"/>
        <v>5.1909999999999999E-4</v>
      </c>
      <c r="I274" s="43">
        <f t="shared" si="149"/>
        <v>6.4889229343629342E-5</v>
      </c>
      <c r="J274" s="1">
        <f t="shared" si="150"/>
        <v>3.8569999999999997E-6</v>
      </c>
      <c r="K274" s="1">
        <f t="shared" si="151"/>
        <v>7.7139999999999999E-4</v>
      </c>
      <c r="L274" s="43">
        <f t="shared" si="136"/>
        <v>2.3919691119691117E-4</v>
      </c>
      <c r="M274" s="43">
        <f t="shared" si="137"/>
        <v>1.1660849420849419E-4</v>
      </c>
      <c r="N274" s="43">
        <f t="shared" si="138"/>
        <v>1.5946460746460746E-6</v>
      </c>
      <c r="O274" s="43">
        <f t="shared" si="139"/>
        <v>1.0903898856840032E-2</v>
      </c>
      <c r="P274" s="43">
        <f t="shared" si="140"/>
        <v>0.13059096070860773</v>
      </c>
      <c r="Q274" s="43">
        <v>259.36</v>
      </c>
      <c r="R274" s="43">
        <f t="shared" si="141"/>
        <v>5.1444923915512156E-2</v>
      </c>
      <c r="S274" s="43">
        <f t="shared" si="142"/>
        <v>6.2789189189189187</v>
      </c>
      <c r="T274" s="43">
        <f t="shared" si="143"/>
        <v>12.557837837837837</v>
      </c>
      <c r="U274" s="43">
        <f t="shared" si="144"/>
        <v>3.1711711711711709E-5</v>
      </c>
      <c r="V274" s="43">
        <f t="shared" si="145"/>
        <v>1.9933075933075932E-6</v>
      </c>
      <c r="W274" s="43">
        <f t="shared" si="146"/>
        <v>2.2651222651222648E-5</v>
      </c>
      <c r="X274" s="43">
        <f t="shared" si="147"/>
        <v>2.2651222651222648E-14</v>
      </c>
      <c r="Y274" s="205">
        <f t="shared" si="148"/>
        <v>56.136493611514872</v>
      </c>
    </row>
    <row r="275" spans="1:25">
      <c r="A275" s="47" t="s">
        <v>952</v>
      </c>
      <c r="D275">
        <v>100</v>
      </c>
      <c r="E275">
        <v>3</v>
      </c>
      <c r="F275" s="47">
        <v>3.9</v>
      </c>
      <c r="G275" s="47">
        <v>3</v>
      </c>
      <c r="H275" s="1">
        <f t="shared" si="135"/>
        <v>6.9809999999999989E-4</v>
      </c>
      <c r="I275" s="43">
        <f t="shared" si="149"/>
        <v>6.4889229343629342E-5</v>
      </c>
      <c r="J275" s="1">
        <f t="shared" si="150"/>
        <v>5.1869999999999996E-6</v>
      </c>
      <c r="K275" s="1">
        <f t="shared" si="151"/>
        <v>1.0374E-3</v>
      </c>
      <c r="L275" s="43">
        <f t="shared" si="136"/>
        <v>2.3919691119691117E-4</v>
      </c>
      <c r="M275" s="43">
        <f t="shared" si="137"/>
        <v>1.1660849420849419E-4</v>
      </c>
      <c r="N275" s="43">
        <f t="shared" si="138"/>
        <v>1.5946460746460746E-6</v>
      </c>
      <c r="O275" s="43">
        <f t="shared" si="139"/>
        <v>1.0903898856840032E-2</v>
      </c>
      <c r="P275" s="43">
        <f t="shared" si="140"/>
        <v>0.13059096070860773</v>
      </c>
      <c r="Q275" s="43">
        <v>260.36</v>
      </c>
      <c r="R275" s="43">
        <f t="shared" si="141"/>
        <v>5.1444923915512156E-2</v>
      </c>
      <c r="S275" s="43">
        <f t="shared" si="142"/>
        <v>6.2789189189189187</v>
      </c>
      <c r="T275" s="43">
        <f t="shared" si="143"/>
        <v>12.557837837837837</v>
      </c>
      <c r="U275" s="43">
        <f t="shared" si="144"/>
        <v>3.1711711711711709E-5</v>
      </c>
      <c r="V275" s="43">
        <f t="shared" si="145"/>
        <v>1.9933075933075932E-6</v>
      </c>
      <c r="W275" s="43">
        <f t="shared" si="146"/>
        <v>2.2651222651222648E-5</v>
      </c>
      <c r="X275" s="43">
        <f t="shared" si="147"/>
        <v>2.2651222651222648E-14</v>
      </c>
      <c r="Y275" s="205">
        <f t="shared" si="148"/>
        <v>67.39081861151486</v>
      </c>
    </row>
    <row r="276" spans="1:25">
      <c r="A276" s="47" t="s">
        <v>953</v>
      </c>
      <c r="D276">
        <v>100</v>
      </c>
      <c r="E276">
        <v>3</v>
      </c>
      <c r="F276" s="47">
        <v>7.4</v>
      </c>
      <c r="G276" s="47">
        <v>3</v>
      </c>
      <c r="H276" s="1">
        <f t="shared" si="135"/>
        <v>1.3246E-3</v>
      </c>
      <c r="I276" s="43">
        <f t="shared" si="149"/>
        <v>6.4889229343629342E-5</v>
      </c>
      <c r="J276" s="1">
        <f t="shared" si="150"/>
        <v>9.842E-6</v>
      </c>
      <c r="K276" s="1">
        <f t="shared" si="151"/>
        <v>1.9684000000000004E-3</v>
      </c>
      <c r="L276" s="43">
        <f t="shared" si="136"/>
        <v>2.3919691119691117E-4</v>
      </c>
      <c r="M276" s="43">
        <f t="shared" si="137"/>
        <v>1.1660849420849419E-4</v>
      </c>
      <c r="N276" s="43">
        <f t="shared" si="138"/>
        <v>1.5946460746460746E-6</v>
      </c>
      <c r="O276" s="43">
        <f t="shared" si="139"/>
        <v>1.0903898856840032E-2</v>
      </c>
      <c r="P276" s="43">
        <f t="shared" si="140"/>
        <v>0.13059096070860773</v>
      </c>
      <c r="Q276" s="43">
        <v>261.36</v>
      </c>
      <c r="R276" s="43">
        <f t="shared" si="141"/>
        <v>5.1444923915512156E-2</v>
      </c>
      <c r="S276" s="43">
        <f t="shared" si="142"/>
        <v>6.2789189189189187</v>
      </c>
      <c r="T276" s="43">
        <f t="shared" si="143"/>
        <v>12.557837837837837</v>
      </c>
      <c r="U276" s="43">
        <f t="shared" si="144"/>
        <v>3.1711711711711709E-5</v>
      </c>
      <c r="V276" s="43">
        <f t="shared" si="145"/>
        <v>1.9933075933075932E-6</v>
      </c>
      <c r="W276" s="43">
        <f t="shared" si="146"/>
        <v>2.2651222651222648E-5</v>
      </c>
      <c r="X276" s="43">
        <f t="shared" si="147"/>
        <v>2.2651222651222648E-14</v>
      </c>
      <c r="Y276" s="205">
        <f t="shared" si="148"/>
        <v>106.68095611151487</v>
      </c>
    </row>
    <row r="277" spans="1:25">
      <c r="A277" s="47" t="s">
        <v>954</v>
      </c>
      <c r="D277">
        <v>100</v>
      </c>
      <c r="E277">
        <v>3</v>
      </c>
      <c r="F277" s="47">
        <v>1.3</v>
      </c>
      <c r="G277" s="47">
        <v>1.5</v>
      </c>
      <c r="H277" s="1">
        <f t="shared" si="135"/>
        <v>2.3269999999999999E-4</v>
      </c>
      <c r="I277" s="43">
        <f t="shared" si="149"/>
        <v>6.4889229343629342E-5</v>
      </c>
      <c r="J277" s="1">
        <f t="shared" si="150"/>
        <v>1.7290000000000001E-6</v>
      </c>
      <c r="K277" s="1">
        <f t="shared" si="151"/>
        <v>3.4580000000000006E-4</v>
      </c>
      <c r="L277" s="43">
        <f t="shared" si="136"/>
        <v>2.3919691119691117E-4</v>
      </c>
      <c r="M277" s="43">
        <f t="shared" si="137"/>
        <v>1.1660849420849419E-4</v>
      </c>
      <c r="N277" s="43">
        <f t="shared" si="138"/>
        <v>1.5946460746460746E-6</v>
      </c>
      <c r="O277" s="43">
        <f t="shared" si="139"/>
        <v>1.0903898856840032E-2</v>
      </c>
      <c r="P277" s="43">
        <f t="shared" si="140"/>
        <v>0.13059096070860773</v>
      </c>
      <c r="Q277" s="43">
        <v>262.36</v>
      </c>
      <c r="R277" s="43">
        <f t="shared" si="141"/>
        <v>5.1444923915512156E-2</v>
      </c>
      <c r="S277" s="43">
        <f t="shared" si="142"/>
        <v>6.2789189189189187</v>
      </c>
      <c r="T277" s="43">
        <f t="shared" si="143"/>
        <v>12.557837837837837</v>
      </c>
      <c r="U277" s="43">
        <f t="shared" si="144"/>
        <v>3.1711711711711709E-5</v>
      </c>
      <c r="V277" s="43">
        <f t="shared" si="145"/>
        <v>1.9933075933075932E-6</v>
      </c>
      <c r="W277" s="43">
        <f t="shared" si="146"/>
        <v>2.2651222651222648E-5</v>
      </c>
      <c r="X277" s="43">
        <f t="shared" si="147"/>
        <v>2.2651222651222648E-14</v>
      </c>
      <c r="Y277" s="205">
        <f t="shared" si="148"/>
        <v>38.313573611514876</v>
      </c>
    </row>
    <row r="278" spans="1:25">
      <c r="A278" s="47" t="s">
        <v>955</v>
      </c>
      <c r="D278">
        <v>100</v>
      </c>
      <c r="E278">
        <v>3</v>
      </c>
      <c r="F278" s="47">
        <v>1.6</v>
      </c>
      <c r="G278" s="47">
        <v>3</v>
      </c>
      <c r="H278" s="1">
        <f t="shared" si="135"/>
        <v>2.8639999999999997E-4</v>
      </c>
      <c r="I278" s="43">
        <f t="shared" si="149"/>
        <v>6.4889229343629342E-5</v>
      </c>
      <c r="J278" s="1">
        <f t="shared" si="150"/>
        <v>2.1280000000000002E-6</v>
      </c>
      <c r="K278" s="1">
        <f t="shared" si="151"/>
        <v>4.2560000000000005E-4</v>
      </c>
      <c r="L278" s="43">
        <f t="shared" si="136"/>
        <v>2.3919691119691117E-4</v>
      </c>
      <c r="M278" s="43">
        <f t="shared" si="137"/>
        <v>1.1660849420849419E-4</v>
      </c>
      <c r="N278" s="43">
        <f t="shared" si="138"/>
        <v>1.5946460746460746E-6</v>
      </c>
      <c r="O278" s="43">
        <f t="shared" si="139"/>
        <v>1.0903898856840032E-2</v>
      </c>
      <c r="P278" s="43">
        <f t="shared" si="140"/>
        <v>0.13059096070860773</v>
      </c>
      <c r="Q278" s="43">
        <v>263.36</v>
      </c>
      <c r="R278" s="43">
        <f t="shared" si="141"/>
        <v>5.1444923915512156E-2</v>
      </c>
      <c r="S278" s="43">
        <f t="shared" si="142"/>
        <v>6.2789189189189187</v>
      </c>
      <c r="T278" s="43">
        <f t="shared" si="143"/>
        <v>12.557837837837837</v>
      </c>
      <c r="U278" s="43">
        <f t="shared" si="144"/>
        <v>3.1711711711711709E-5</v>
      </c>
      <c r="V278" s="43">
        <f t="shared" si="145"/>
        <v>1.9933075933075932E-6</v>
      </c>
      <c r="W278" s="43">
        <f t="shared" si="146"/>
        <v>2.2651222651222648E-5</v>
      </c>
      <c r="X278" s="43">
        <f t="shared" si="147"/>
        <v>2.2651222651222648E-14</v>
      </c>
      <c r="Y278" s="205">
        <f t="shared" si="148"/>
        <v>41.717871111514874</v>
      </c>
    </row>
    <row r="279" spans="1:25">
      <c r="A279" s="47" t="s">
        <v>956</v>
      </c>
      <c r="D279">
        <v>100</v>
      </c>
      <c r="E279">
        <v>3</v>
      </c>
      <c r="F279" s="47">
        <v>1.2</v>
      </c>
      <c r="G279" s="47">
        <v>3</v>
      </c>
      <c r="H279" s="1">
        <f t="shared" si="135"/>
        <v>2.1479999999999999E-4</v>
      </c>
      <c r="I279" s="43">
        <f t="shared" si="149"/>
        <v>6.4889229343629342E-5</v>
      </c>
      <c r="J279" s="1">
        <f t="shared" si="150"/>
        <v>1.5959999999999998E-6</v>
      </c>
      <c r="K279" s="1">
        <f t="shared" si="151"/>
        <v>3.1920000000000001E-4</v>
      </c>
      <c r="L279" s="43">
        <f t="shared" si="136"/>
        <v>2.3919691119691117E-4</v>
      </c>
      <c r="M279" s="43">
        <f t="shared" si="137"/>
        <v>1.1660849420849419E-4</v>
      </c>
      <c r="N279" s="43">
        <f t="shared" si="138"/>
        <v>1.5946460746460746E-6</v>
      </c>
      <c r="O279" s="43">
        <f t="shared" si="139"/>
        <v>1.0903898856840032E-2</v>
      </c>
      <c r="P279" s="43">
        <f t="shared" si="140"/>
        <v>0.13059096070860773</v>
      </c>
      <c r="Q279" s="43">
        <v>264.36</v>
      </c>
      <c r="R279" s="43">
        <f t="shared" si="141"/>
        <v>5.1444923915512156E-2</v>
      </c>
      <c r="S279" s="43">
        <f t="shared" si="142"/>
        <v>6.2789189189189187</v>
      </c>
      <c r="T279" s="43">
        <f t="shared" si="143"/>
        <v>12.557837837837837</v>
      </c>
      <c r="U279" s="43">
        <f t="shared" si="144"/>
        <v>3.1711711711711709E-5</v>
      </c>
      <c r="V279" s="43">
        <f t="shared" si="145"/>
        <v>1.9933075933075932E-6</v>
      </c>
      <c r="W279" s="43">
        <f t="shared" si="146"/>
        <v>2.2651222651222648E-5</v>
      </c>
      <c r="X279" s="43">
        <f t="shared" si="147"/>
        <v>2.2651222651222648E-14</v>
      </c>
      <c r="Y279" s="205">
        <f t="shared" si="148"/>
        <v>37.27214111151487</v>
      </c>
    </row>
    <row r="280" spans="1:25">
      <c r="A280" s="47" t="s">
        <v>957</v>
      </c>
      <c r="D280">
        <v>100</v>
      </c>
      <c r="E280">
        <v>3</v>
      </c>
      <c r="F280" s="47">
        <v>2.2999999999999998</v>
      </c>
      <c r="G280" s="47">
        <v>3</v>
      </c>
      <c r="H280" s="1">
        <f t="shared" si="135"/>
        <v>4.1169999999999992E-4</v>
      </c>
      <c r="I280" s="43">
        <f t="shared" si="149"/>
        <v>6.4889229343629342E-5</v>
      </c>
      <c r="J280" s="1">
        <f t="shared" si="150"/>
        <v>3.0589999999999998E-6</v>
      </c>
      <c r="K280" s="1">
        <f t="shared" si="151"/>
        <v>6.1180000000000002E-4</v>
      </c>
      <c r="L280" s="43">
        <f t="shared" si="136"/>
        <v>2.3919691119691117E-4</v>
      </c>
      <c r="M280" s="43">
        <f t="shared" si="137"/>
        <v>1.1660849420849419E-4</v>
      </c>
      <c r="N280" s="43">
        <f t="shared" si="138"/>
        <v>1.5946460746460746E-6</v>
      </c>
      <c r="O280" s="43">
        <f t="shared" si="139"/>
        <v>1.0903898856840032E-2</v>
      </c>
      <c r="P280" s="43">
        <f t="shared" si="140"/>
        <v>0.13059096070860773</v>
      </c>
      <c r="Q280" s="43">
        <v>265.36</v>
      </c>
      <c r="R280" s="43">
        <f t="shared" si="141"/>
        <v>5.1444923915512156E-2</v>
      </c>
      <c r="S280" s="43">
        <f t="shared" si="142"/>
        <v>6.2789189189189187</v>
      </c>
      <c r="T280" s="43">
        <f t="shared" si="143"/>
        <v>12.557837837837837</v>
      </c>
      <c r="U280" s="43">
        <f t="shared" si="144"/>
        <v>3.1711711711711709E-5</v>
      </c>
      <c r="V280" s="43">
        <f t="shared" si="145"/>
        <v>1.9933075933075932E-6</v>
      </c>
      <c r="W280" s="43">
        <f t="shared" si="146"/>
        <v>2.2651222651222648E-5</v>
      </c>
      <c r="X280" s="43">
        <f t="shared" si="147"/>
        <v>2.2651222651222648E-14</v>
      </c>
      <c r="Y280" s="205">
        <f t="shared" si="148"/>
        <v>49.647898611514869</v>
      </c>
    </row>
    <row r="281" spans="1:25">
      <c r="A281" s="47" t="s">
        <v>958</v>
      </c>
      <c r="D281">
        <v>100</v>
      </c>
      <c r="E281">
        <v>3</v>
      </c>
      <c r="F281" s="47">
        <v>0.16</v>
      </c>
      <c r="G281" s="47">
        <v>2</v>
      </c>
      <c r="H281" s="1">
        <f t="shared" si="135"/>
        <v>2.8639999999999997E-5</v>
      </c>
      <c r="I281" s="43">
        <f t="shared" si="149"/>
        <v>6.4889229343629342E-5</v>
      </c>
      <c r="J281" s="1">
        <f t="shared" si="150"/>
        <v>2.128E-7</v>
      </c>
      <c r="K281" s="1">
        <f t="shared" si="151"/>
        <v>4.2560000000000006E-5</v>
      </c>
      <c r="L281" s="43">
        <f t="shared" si="136"/>
        <v>2.3919691119691117E-4</v>
      </c>
      <c r="M281" s="43">
        <f t="shared" si="137"/>
        <v>1.1660849420849419E-4</v>
      </c>
      <c r="N281" s="43">
        <f t="shared" si="138"/>
        <v>1.5946460746460746E-6</v>
      </c>
      <c r="O281" s="43">
        <f t="shared" si="139"/>
        <v>1.0903898856840032E-2</v>
      </c>
      <c r="P281" s="43">
        <f t="shared" si="140"/>
        <v>0.13059096070860773</v>
      </c>
      <c r="Q281" s="43">
        <v>266.36</v>
      </c>
      <c r="R281" s="43">
        <f t="shared" si="141"/>
        <v>5.1444923915512156E-2</v>
      </c>
      <c r="S281" s="43">
        <f t="shared" si="142"/>
        <v>6.2789189189189187</v>
      </c>
      <c r="T281" s="43">
        <f t="shared" si="143"/>
        <v>12.557837837837837</v>
      </c>
      <c r="U281" s="43">
        <f t="shared" si="144"/>
        <v>3.1711711711711709E-5</v>
      </c>
      <c r="V281" s="43">
        <f t="shared" si="145"/>
        <v>1.9933075933075932E-6</v>
      </c>
      <c r="W281" s="43">
        <f t="shared" si="146"/>
        <v>2.2651222651222648E-5</v>
      </c>
      <c r="X281" s="43">
        <f t="shared" si="147"/>
        <v>2.2651222651222648E-14</v>
      </c>
      <c r="Y281" s="205">
        <f t="shared" si="148"/>
        <v>25.689243111514877</v>
      </c>
    </row>
    <row r="282" spans="1:25">
      <c r="A282" s="47" t="s">
        <v>959</v>
      </c>
      <c r="D282">
        <v>100</v>
      </c>
      <c r="E282">
        <v>3</v>
      </c>
      <c r="F282" s="47">
        <v>0.5</v>
      </c>
      <c r="G282" s="47">
        <v>2</v>
      </c>
      <c r="H282" s="1">
        <f t="shared" si="135"/>
        <v>8.9499999999999994E-5</v>
      </c>
      <c r="I282" s="43">
        <f t="shared" si="149"/>
        <v>6.4889229343629342E-5</v>
      </c>
      <c r="J282" s="1">
        <f t="shared" si="150"/>
        <v>6.6499999999999999E-7</v>
      </c>
      <c r="K282" s="1">
        <f t="shared" si="151"/>
        <v>1.3300000000000001E-4</v>
      </c>
      <c r="L282" s="43">
        <f t="shared" ref="L282:L287" si="152">CO2_malnutrition_charfact*D282</f>
        <v>2.3919691119691117E-4</v>
      </c>
      <c r="M282" s="43">
        <f t="shared" ref="M282:M287" si="153">CO2_workingcapacity_charfact*D282</f>
        <v>1.1660849420849419E-4</v>
      </c>
      <c r="N282" s="43">
        <f t="shared" ref="N282:N287" si="154">CO2_diarrhea_charfact*D282</f>
        <v>1.5946460746460746E-6</v>
      </c>
      <c r="O282" s="43">
        <f t="shared" ref="O282:O287" si="155">CO2_crop_charfact</f>
        <v>1.0903898856840032E-2</v>
      </c>
      <c r="P282" s="43">
        <f t="shared" ref="P282:P287" si="156">CO2_fruitandveg_charfact*D282</f>
        <v>0.13059096070860773</v>
      </c>
      <c r="Q282" s="43">
        <v>267.36</v>
      </c>
      <c r="R282" s="43">
        <f t="shared" ref="R282:R287" si="157">CO2_meatandfish_charfact*D282</f>
        <v>5.1444923915512156E-2</v>
      </c>
      <c r="S282" s="43">
        <f t="shared" ref="S282:S287" si="158">CO2_drinkingwater_charfact*D282</f>
        <v>6.2789189189189187</v>
      </c>
      <c r="T282" s="43">
        <f t="shared" ref="T282:T287" si="159">CO2_irrigationwater_charfact*D282</f>
        <v>12.557837837837837</v>
      </c>
      <c r="U282" s="43">
        <f t="shared" ref="U282:U287" si="160">CO2_energyaccess_charfact*D282</f>
        <v>3.1711711711711709E-5</v>
      </c>
      <c r="V282" s="43">
        <f t="shared" ref="V282:V287" si="161">CO2_housing_charfact*D282</f>
        <v>1.9933075933075932E-6</v>
      </c>
      <c r="W282" s="43">
        <f t="shared" ref="W282:W287" si="162">CO2_separations_charfact*D282</f>
        <v>2.2651222651222648E-5</v>
      </c>
      <c r="X282" s="43">
        <f t="shared" ref="X282:X287" si="163">CO2_NEX_charfact*D282</f>
        <v>2.2651222651222648E-14</v>
      </c>
      <c r="Y282" s="205">
        <f t="shared" ref="Y282:Y287" si="164">(H282+I282)*YOLLvalue+J282*skincancervalue+K282*Lowvisionvalue+L282*malnutrition+M282*working_capacity+N282*diarrhea+O282*cropvalue+P282*Fruitandveg_value+Q282*woodvalue+R282*fishandmeatvalue+S282*drinkingwatervalue+T282*irrigationwatervalue+U282*energy_access+V282*housingvalue+W282*migrationvalue+X282*speciesvalue</f>
        <v>29.542113611514871</v>
      </c>
    </row>
    <row r="283" spans="1:25">
      <c r="A283" s="47" t="s">
        <v>960</v>
      </c>
      <c r="D283">
        <v>100</v>
      </c>
      <c r="E283">
        <v>3</v>
      </c>
      <c r="F283" s="47">
        <v>0.43</v>
      </c>
      <c r="G283" s="47">
        <v>2.5</v>
      </c>
      <c r="H283" s="1">
        <f t="shared" si="135"/>
        <v>7.696999999999999E-5</v>
      </c>
      <c r="I283" s="43">
        <f t="shared" si="149"/>
        <v>6.4889229343629342E-5</v>
      </c>
      <c r="J283" s="1">
        <f t="shared" si="150"/>
        <v>5.7189999999999998E-7</v>
      </c>
      <c r="K283" s="1">
        <f t="shared" si="151"/>
        <v>1.1438E-4</v>
      </c>
      <c r="L283" s="43">
        <f t="shared" si="152"/>
        <v>2.3919691119691117E-4</v>
      </c>
      <c r="M283" s="43">
        <f t="shared" si="153"/>
        <v>1.1660849420849419E-4</v>
      </c>
      <c r="N283" s="43">
        <f t="shared" si="154"/>
        <v>1.5946460746460746E-6</v>
      </c>
      <c r="O283" s="43">
        <f t="shared" si="155"/>
        <v>1.0903898856840032E-2</v>
      </c>
      <c r="P283" s="43">
        <f t="shared" si="156"/>
        <v>0.13059096070860773</v>
      </c>
      <c r="Q283" s="43">
        <v>268.36</v>
      </c>
      <c r="R283" s="43">
        <f t="shared" si="157"/>
        <v>5.1444923915512156E-2</v>
      </c>
      <c r="S283" s="43">
        <f t="shared" si="158"/>
        <v>6.2789189189189187</v>
      </c>
      <c r="T283" s="43">
        <f t="shared" si="159"/>
        <v>12.557837837837837</v>
      </c>
      <c r="U283" s="43">
        <f t="shared" si="160"/>
        <v>3.1711711711711709E-5</v>
      </c>
      <c r="V283" s="43">
        <f t="shared" si="161"/>
        <v>1.9933075933075932E-6</v>
      </c>
      <c r="W283" s="43">
        <f t="shared" si="162"/>
        <v>2.2651222651222648E-5</v>
      </c>
      <c r="X283" s="43">
        <f t="shared" si="163"/>
        <v>2.2651222651222648E-14</v>
      </c>
      <c r="Y283" s="205">
        <f t="shared" si="164"/>
        <v>28.797110861514874</v>
      </c>
    </row>
    <row r="284" spans="1:25">
      <c r="A284" s="47" t="s">
        <v>961</v>
      </c>
      <c r="D284">
        <v>100</v>
      </c>
      <c r="E284">
        <v>3</v>
      </c>
      <c r="F284" s="47">
        <v>0.21</v>
      </c>
      <c r="G284" s="47">
        <v>2</v>
      </c>
      <c r="H284" s="1">
        <f t="shared" si="135"/>
        <v>3.7589999999999998E-5</v>
      </c>
      <c r="I284" s="43">
        <f t="shared" si="149"/>
        <v>6.4889229343629342E-5</v>
      </c>
      <c r="J284" s="1">
        <f t="shared" si="150"/>
        <v>2.7929999999999997E-7</v>
      </c>
      <c r="K284" s="1">
        <f t="shared" si="151"/>
        <v>5.5860000000000004E-5</v>
      </c>
      <c r="L284" s="43">
        <f t="shared" si="152"/>
        <v>2.3919691119691117E-4</v>
      </c>
      <c r="M284" s="43">
        <f t="shared" si="153"/>
        <v>1.1660849420849419E-4</v>
      </c>
      <c r="N284" s="43">
        <f t="shared" si="154"/>
        <v>1.5946460746460746E-6</v>
      </c>
      <c r="O284" s="43">
        <f t="shared" si="155"/>
        <v>1.0903898856840032E-2</v>
      </c>
      <c r="P284" s="43">
        <f t="shared" si="156"/>
        <v>0.13059096070860773</v>
      </c>
      <c r="Q284" s="43">
        <v>269.36</v>
      </c>
      <c r="R284" s="43">
        <f t="shared" si="157"/>
        <v>5.1444923915512156E-2</v>
      </c>
      <c r="S284" s="43">
        <f t="shared" si="158"/>
        <v>6.2789189189189187</v>
      </c>
      <c r="T284" s="43">
        <f t="shared" si="159"/>
        <v>12.557837837837837</v>
      </c>
      <c r="U284" s="43">
        <f t="shared" si="160"/>
        <v>3.1711711711711709E-5</v>
      </c>
      <c r="V284" s="43">
        <f t="shared" si="161"/>
        <v>1.9933075933075932E-6</v>
      </c>
      <c r="W284" s="43">
        <f t="shared" si="162"/>
        <v>2.2651222651222648E-5</v>
      </c>
      <c r="X284" s="43">
        <f t="shared" si="163"/>
        <v>2.2651222651222648E-14</v>
      </c>
      <c r="Y284" s="205">
        <f t="shared" si="164"/>
        <v>26.369959361514873</v>
      </c>
    </row>
    <row r="285" spans="1:25">
      <c r="A285" s="47" t="s">
        <v>962</v>
      </c>
      <c r="D285">
        <v>100</v>
      </c>
      <c r="E285">
        <v>3</v>
      </c>
      <c r="F285" s="47">
        <v>0.43</v>
      </c>
      <c r="G285" s="47">
        <v>2</v>
      </c>
      <c r="H285" s="1">
        <f t="shared" si="135"/>
        <v>7.696999999999999E-5</v>
      </c>
      <c r="I285" s="43">
        <f t="shared" si="149"/>
        <v>6.4889229343629342E-5</v>
      </c>
      <c r="J285" s="1">
        <f t="shared" si="150"/>
        <v>5.7189999999999998E-7</v>
      </c>
      <c r="K285" s="1">
        <f t="shared" si="151"/>
        <v>1.1438E-4</v>
      </c>
      <c r="L285" s="43">
        <f t="shared" si="152"/>
        <v>2.3919691119691117E-4</v>
      </c>
      <c r="M285" s="43">
        <f t="shared" si="153"/>
        <v>1.1660849420849419E-4</v>
      </c>
      <c r="N285" s="43">
        <f t="shared" si="154"/>
        <v>1.5946460746460746E-6</v>
      </c>
      <c r="O285" s="43">
        <f t="shared" si="155"/>
        <v>1.0903898856840032E-2</v>
      </c>
      <c r="P285" s="43">
        <f t="shared" si="156"/>
        <v>0.13059096070860773</v>
      </c>
      <c r="Q285" s="43">
        <v>270.36</v>
      </c>
      <c r="R285" s="43">
        <f t="shared" si="157"/>
        <v>5.1444923915512156E-2</v>
      </c>
      <c r="S285" s="43">
        <f t="shared" si="158"/>
        <v>6.2789189189189187</v>
      </c>
      <c r="T285" s="43">
        <f t="shared" si="159"/>
        <v>12.557837837837837</v>
      </c>
      <c r="U285" s="43">
        <f t="shared" si="160"/>
        <v>3.1711711711711709E-5</v>
      </c>
      <c r="V285" s="43">
        <f t="shared" si="161"/>
        <v>1.9933075933075932E-6</v>
      </c>
      <c r="W285" s="43">
        <f t="shared" si="162"/>
        <v>2.2651222651222648E-5</v>
      </c>
      <c r="X285" s="43">
        <f t="shared" si="163"/>
        <v>2.2651222651222648E-14</v>
      </c>
      <c r="Y285" s="205">
        <f t="shared" si="164"/>
        <v>28.877110861514872</v>
      </c>
    </row>
    <row r="286" spans="1:25">
      <c r="A286" s="47" t="s">
        <v>963</v>
      </c>
      <c r="D286">
        <v>100</v>
      </c>
      <c r="E286">
        <v>3</v>
      </c>
      <c r="F286" s="47">
        <v>0.36</v>
      </c>
      <c r="G286" s="47">
        <v>2.5</v>
      </c>
      <c r="H286" s="1">
        <f t="shared" si="135"/>
        <v>6.444E-5</v>
      </c>
      <c r="I286" s="43">
        <f t="shared" si="149"/>
        <v>6.4889229343629342E-5</v>
      </c>
      <c r="J286" s="1">
        <f t="shared" si="150"/>
        <v>4.7879999999999997E-7</v>
      </c>
      <c r="K286" s="1">
        <f t="shared" si="151"/>
        <v>9.5760000000000005E-5</v>
      </c>
      <c r="L286" s="43">
        <f t="shared" si="152"/>
        <v>2.3919691119691117E-4</v>
      </c>
      <c r="M286" s="43">
        <f t="shared" si="153"/>
        <v>1.1660849420849419E-4</v>
      </c>
      <c r="N286" s="43">
        <f t="shared" si="154"/>
        <v>1.5946460746460746E-6</v>
      </c>
      <c r="O286" s="43">
        <f t="shared" si="155"/>
        <v>1.0903898856840032E-2</v>
      </c>
      <c r="P286" s="43">
        <f t="shared" si="156"/>
        <v>0.13059096070860773</v>
      </c>
      <c r="Q286" s="43">
        <v>271.36</v>
      </c>
      <c r="R286" s="43">
        <f t="shared" si="157"/>
        <v>5.1444923915512156E-2</v>
      </c>
      <c r="S286" s="43">
        <f t="shared" si="158"/>
        <v>6.2789189189189187</v>
      </c>
      <c r="T286" s="43">
        <f t="shared" si="159"/>
        <v>12.557837837837837</v>
      </c>
      <c r="U286" s="43">
        <f t="shared" si="160"/>
        <v>3.1711711711711709E-5</v>
      </c>
      <c r="V286" s="43">
        <f t="shared" si="161"/>
        <v>1.9933075933075932E-6</v>
      </c>
      <c r="W286" s="43">
        <f t="shared" si="162"/>
        <v>2.2651222651222648E-5</v>
      </c>
      <c r="X286" s="43">
        <f t="shared" si="163"/>
        <v>2.2651222651222648E-14</v>
      </c>
      <c r="Y286" s="205">
        <f t="shared" si="164"/>
        <v>28.132108111514874</v>
      </c>
    </row>
    <row r="287" spans="1:25">
      <c r="A287" s="45" t="s">
        <v>965</v>
      </c>
      <c r="D287">
        <v>100</v>
      </c>
      <c r="E287">
        <v>3</v>
      </c>
      <c r="F287" s="47">
        <v>0.12</v>
      </c>
      <c r="H287" s="1">
        <f t="shared" si="135"/>
        <v>2.1479999999999998E-5</v>
      </c>
      <c r="I287" s="43">
        <f t="shared" si="149"/>
        <v>6.4889229343629342E-5</v>
      </c>
      <c r="J287" s="1">
        <f t="shared" si="150"/>
        <v>1.596E-7</v>
      </c>
      <c r="K287" s="1">
        <f t="shared" si="151"/>
        <v>3.1919999999999999E-5</v>
      </c>
      <c r="L287" s="43">
        <f t="shared" si="152"/>
        <v>2.3919691119691117E-4</v>
      </c>
      <c r="M287" s="43">
        <f t="shared" si="153"/>
        <v>1.1660849420849419E-4</v>
      </c>
      <c r="N287" s="43">
        <f t="shared" si="154"/>
        <v>1.5946460746460746E-6</v>
      </c>
      <c r="O287" s="43">
        <f t="shared" si="155"/>
        <v>1.0903898856840032E-2</v>
      </c>
      <c r="P287" s="43">
        <f t="shared" si="156"/>
        <v>0.13059096070860773</v>
      </c>
      <c r="Q287" s="43">
        <v>272.36</v>
      </c>
      <c r="R287" s="43">
        <f t="shared" si="157"/>
        <v>5.1444923915512156E-2</v>
      </c>
      <c r="S287" s="43">
        <f t="shared" si="158"/>
        <v>6.2789189189189187</v>
      </c>
      <c r="T287" s="43">
        <f t="shared" si="159"/>
        <v>12.557837837837837</v>
      </c>
      <c r="U287" s="43">
        <f t="shared" si="160"/>
        <v>3.1711711711711709E-5</v>
      </c>
      <c r="V287" s="43">
        <f t="shared" si="161"/>
        <v>1.9933075933075932E-6</v>
      </c>
      <c r="W287" s="43">
        <f t="shared" si="162"/>
        <v>2.2651222651222648E-5</v>
      </c>
      <c r="X287" s="43">
        <f t="shared" si="163"/>
        <v>2.2651222651222648E-14</v>
      </c>
      <c r="Y287" s="205">
        <f t="shared" si="164"/>
        <v>25.480670111514875</v>
      </c>
    </row>
  </sheetData>
  <autoFilter ref="A1:Y287"/>
  <phoneticPr fontId="0" type="noConversion"/>
  <pageMargins left="0.75" right="0.75" top="1" bottom="1" header="0.5" footer="0.5"/>
  <pageSetup paperSize="9" orientation="portrait"/>
  <headerFooter alignWithMargins="0"/>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147"/>
  <sheetViews>
    <sheetView workbookViewId="0">
      <pane xSplit="1" ySplit="1" topLeftCell="Q2" activePane="bottomRight" state="frozenSplit"/>
      <selection activeCell="L190" sqref="L190"/>
      <selection pane="topRight" activeCell="L190" sqref="L190"/>
      <selection pane="bottomLeft" activeCell="L190" sqref="L190"/>
      <selection pane="bottomRight" activeCell="AB147" activeCellId="5" sqref="AD126 AB123:AB127 AB129:AB131 AB133:AB141 AB143:AB145 AB147"/>
    </sheetView>
  </sheetViews>
  <sheetFormatPr defaultColWidth="8.85546875" defaultRowHeight="12.75"/>
  <cols>
    <col min="1" max="1" width="33" bestFit="1" customWidth="1"/>
    <col min="3" max="3" width="8.140625" bestFit="1" customWidth="1"/>
    <col min="4" max="4" width="6.28515625" bestFit="1" customWidth="1"/>
    <col min="5" max="5" width="8.140625" bestFit="1" customWidth="1"/>
    <col min="6" max="7" width="8.42578125" customWidth="1"/>
    <col min="8" max="27" width="10.28515625" style="77" customWidth="1"/>
    <col min="28" max="28" width="9.140625" style="130" customWidth="1"/>
  </cols>
  <sheetData>
    <row r="1" spans="1:40" ht="51">
      <c r="A1" s="45" t="s">
        <v>747</v>
      </c>
      <c r="B1" t="s">
        <v>192</v>
      </c>
      <c r="C1" s="7" t="s">
        <v>692</v>
      </c>
      <c r="D1" t="s">
        <v>688</v>
      </c>
      <c r="E1" s="7" t="s">
        <v>691</v>
      </c>
      <c r="F1" s="7" t="s">
        <v>745</v>
      </c>
      <c r="G1" s="7" t="s">
        <v>746</v>
      </c>
      <c r="H1" s="81" t="s">
        <v>749</v>
      </c>
      <c r="I1" s="82" t="s">
        <v>669</v>
      </c>
      <c r="J1" s="82" t="s">
        <v>683</v>
      </c>
      <c r="K1" s="82" t="s">
        <v>684</v>
      </c>
      <c r="L1" s="82" t="s">
        <v>670</v>
      </c>
      <c r="M1" s="82" t="s">
        <v>671</v>
      </c>
      <c r="N1" s="82" t="s">
        <v>672</v>
      </c>
      <c r="O1" s="82" t="s">
        <v>685</v>
      </c>
      <c r="P1" s="82" t="s">
        <v>686</v>
      </c>
      <c r="Q1" s="82" t="s">
        <v>673</v>
      </c>
      <c r="R1" s="82" t="s">
        <v>674</v>
      </c>
      <c r="S1" s="82" t="s">
        <v>678</v>
      </c>
      <c r="T1" s="82" t="s">
        <v>687</v>
      </c>
      <c r="U1" s="82" t="s">
        <v>677</v>
      </c>
      <c r="V1" s="82" t="s">
        <v>675</v>
      </c>
      <c r="W1" s="82" t="s">
        <v>679</v>
      </c>
      <c r="X1" s="82" t="s">
        <v>680</v>
      </c>
      <c r="Y1" s="82" t="s">
        <v>681</v>
      </c>
      <c r="Z1" s="82" t="s">
        <v>682</v>
      </c>
      <c r="AA1" s="82" t="s">
        <v>676</v>
      </c>
      <c r="AB1" s="199" t="s">
        <v>504</v>
      </c>
    </row>
    <row r="2" spans="1:40">
      <c r="A2" s="44" t="s">
        <v>713</v>
      </c>
      <c r="C2" s="7"/>
      <c r="E2" s="7"/>
      <c r="F2" s="7"/>
      <c r="G2" s="7"/>
      <c r="H2" s="82"/>
      <c r="I2" s="82"/>
      <c r="J2" s="82"/>
      <c r="K2" s="82"/>
      <c r="L2" s="82"/>
      <c r="M2" s="82"/>
      <c r="N2" s="82"/>
      <c r="O2" s="82"/>
      <c r="P2" s="82"/>
      <c r="Q2" s="82"/>
      <c r="R2" s="82"/>
      <c r="S2" s="82"/>
      <c r="T2" s="82"/>
      <c r="U2" s="82"/>
      <c r="V2" s="82"/>
      <c r="W2" s="82"/>
      <c r="X2" s="82"/>
      <c r="Y2" s="82"/>
      <c r="Z2" s="82"/>
      <c r="AA2" s="82"/>
    </row>
    <row r="3" spans="1:40">
      <c r="A3" s="45" t="s">
        <v>608</v>
      </c>
      <c r="B3">
        <v>28.5</v>
      </c>
      <c r="C3" s="7">
        <v>2</v>
      </c>
      <c r="D3">
        <v>8.0000000000000002E-3</v>
      </c>
      <c r="E3" s="7"/>
      <c r="F3" s="7">
        <v>0</v>
      </c>
      <c r="G3" s="7"/>
      <c r="H3" s="83">
        <f>B3*charco2yoll</f>
        <v>1.849343036293436E-5</v>
      </c>
      <c r="I3" s="83">
        <f>D3*NOx_YOLL_Oxidant_charfact/0.62</f>
        <v>4.5924192208395493E-8</v>
      </c>
      <c r="J3" s="83">
        <f>F3*PM2.5_YOLL_charfact</f>
        <v>0</v>
      </c>
      <c r="L3" s="83">
        <f>CO2_malnutrition_charfact*B3</f>
        <v>6.8171119691119681E-5</v>
      </c>
      <c r="M3" s="83">
        <f>CO2_workingcapacity_charfact*B3</f>
        <v>3.3233420849420842E-5</v>
      </c>
      <c r="N3" s="83">
        <f>CO2_diarrhea_charfact*B3</f>
        <v>4.5447413127413122E-7</v>
      </c>
      <c r="O3" s="83">
        <f>PM2.5_asthmacases_charfact*F3</f>
        <v>0</v>
      </c>
      <c r="P3" s="83">
        <f>PM2.5_COPD_charfact*F3</f>
        <v>0</v>
      </c>
      <c r="Q3" s="83">
        <f>CO2_crop_charfact*B3</f>
        <v>0.31076111741994089</v>
      </c>
      <c r="R3" s="83">
        <f t="shared" ref="R3:R26" si="0">charnoxcrop/0.62*D3</f>
        <v>9.5009727186354791E-3</v>
      </c>
      <c r="S3" s="83">
        <f>charco2woodgw*B3</f>
        <v>0</v>
      </c>
      <c r="T3" s="83">
        <f>NOx_wood_oxidantcharfact/0.62*D3</f>
        <v>7.3632538569424967E-4</v>
      </c>
      <c r="U3" s="83">
        <f>CO2_fruitandveg_charfact*B3</f>
        <v>3.7218423801953206E-2</v>
      </c>
      <c r="V3" s="83">
        <f>CO2_meatandfish_charfact*B3</f>
        <v>1.4661803315920964E-2</v>
      </c>
      <c r="W3" s="83">
        <f>CO2_drinkingwater_charfact*B3</f>
        <v>1.7894918918918918</v>
      </c>
      <c r="X3" s="83">
        <f>CO2_irrigationwater_charfact*B3</f>
        <v>3.5789837837837837</v>
      </c>
      <c r="Y3" s="83">
        <f>CO2_housing_charfact*B3</f>
        <v>5.68092664092664E-7</v>
      </c>
      <c r="Z3" s="83">
        <f>CO2_separations_charfact*B3</f>
        <v>6.4555984555984547E-6</v>
      </c>
      <c r="AA3" s="83">
        <f>CO2_NEX_charfact*B3</f>
        <v>6.4555984555984548E-15</v>
      </c>
      <c r="AB3" s="131">
        <f>(H3+I3+J3+K3)*YOLLvalue+L3*malnutrition+M3*working_capacity+N3*diarrhea+O3*asthmacasesvalue+P3*COPDvalue+(Q3+R3)*cropvalue+(S3+T3)*woodvalue+U3*Fruitandveg_value+V3*fishandmeatvalue+W3*drinkingwatervalue+X3*irrigationwatervalue+Y3*housingvalue+Z3*migrationvalue+AA3*speciesvalue</f>
        <v>3.8203507688338036</v>
      </c>
    </row>
    <row r="4" spans="1:40">
      <c r="A4" t="s">
        <v>193</v>
      </c>
      <c r="B4">
        <v>4.5</v>
      </c>
      <c r="C4">
        <v>2</v>
      </c>
      <c r="D4">
        <v>0.25</v>
      </c>
      <c r="F4">
        <v>0.11</v>
      </c>
      <c r="H4" s="83">
        <f t="shared" ref="H4:H26" si="1">B4*charco2yoll</f>
        <v>2.9200153204633203E-6</v>
      </c>
      <c r="I4" s="83">
        <f t="shared" ref="I4:I26" si="2">D4*NOx_YOLL_Oxidant_charfact/0.62</f>
        <v>1.4351310065123593E-6</v>
      </c>
      <c r="J4" s="83">
        <f t="shared" ref="J4:J26" si="3">F4*PM2.5_YOLL_charfact</f>
        <v>3.2567254270146715E-4</v>
      </c>
      <c r="L4" s="83">
        <f t="shared" ref="L4:L26" si="4">CO2_malnutrition_charfact*B4</f>
        <v>1.0763861003861002E-5</v>
      </c>
      <c r="M4" s="83">
        <f t="shared" ref="M4:M26" si="5">CO2_workingcapacity_charfact*B4</f>
        <v>5.2473822393822384E-6</v>
      </c>
      <c r="N4" s="83">
        <f t="shared" ref="N4:N26" si="6">CO2_diarrhea_charfact*B4</f>
        <v>7.1759073359073361E-8</v>
      </c>
      <c r="O4" s="83">
        <f t="shared" ref="O4:O26" si="7">PM2.5_asthmacases_charfact*F4</f>
        <v>5.3127359999999993E-6</v>
      </c>
      <c r="P4" s="83">
        <f t="shared" ref="P4:P26" si="8">PM2.5_COPD_charfact*F4</f>
        <v>4.1469999999999997E-7</v>
      </c>
      <c r="Q4" s="83">
        <f t="shared" ref="Q4:Q26" si="9">CO2_crop_charfact*B4</f>
        <v>4.9067544855780146E-2</v>
      </c>
      <c r="R4" s="83">
        <f t="shared" si="0"/>
        <v>0.29690539745735872</v>
      </c>
      <c r="S4" s="83">
        <f t="shared" ref="S4:S26" si="10">charco2woodgw*B4</f>
        <v>0</v>
      </c>
      <c r="T4" s="83">
        <f t="shared" ref="T4:T26" si="11">NOx_wood_oxidantcharfact/0.62*D4</f>
        <v>2.3010168302945302E-2</v>
      </c>
      <c r="U4" s="83">
        <f t="shared" ref="U4:U26" si="12">CO2_fruitandveg_charfact*B4</f>
        <v>5.8765932318873481E-3</v>
      </c>
      <c r="V4" s="83">
        <f t="shared" ref="V4:V26" si="13">CO2_meatandfish_charfact*B4</f>
        <v>2.3150215761980467E-3</v>
      </c>
      <c r="W4" s="83">
        <f t="shared" ref="W4:W26" si="14">CO2_drinkingwater_charfact*B4</f>
        <v>0.28255135135135134</v>
      </c>
      <c r="X4" s="83">
        <f t="shared" ref="X4:X26" si="15">CO2_irrigationwater_charfact*B4</f>
        <v>0.56510270270270269</v>
      </c>
      <c r="Y4" s="83">
        <f t="shared" ref="Y4:Y26" si="16">CO2_housing_charfact*B4</f>
        <v>8.9698841698841695E-8</v>
      </c>
      <c r="Z4" s="83">
        <f t="shared" ref="Z4:Z26" si="17">CO2_separations_charfact*B4</f>
        <v>1.0193050193050191E-6</v>
      </c>
      <c r="AA4" s="83">
        <f t="shared" ref="AA4:AA26" si="18">CO2_NEX_charfact*B4</f>
        <v>1.0193050193050192E-15</v>
      </c>
      <c r="AB4" s="131">
        <f t="shared" ref="AB4:AB26" si="19">(H4+I4+J4+K4)*YOLLvalue+L4*malnutrition+M4*working_capacity+N4*diarrhea+O4*asthmacasesvalue+P4*COPDvalue+(Q4+R4)*cropvalue+(S4+T4)*woodvalue+U4*Fruitandveg_value+V4*fishandmeatvalue+W4*drinkingwatervalue+X4*irrigationwatervalue+Y4*housingvalue+Z4*migrationvalue+AA4*speciesvalue</f>
        <v>17.043503202583796</v>
      </c>
      <c r="AG4" s="3"/>
      <c r="AI4" s="3"/>
      <c r="AL4" s="1"/>
      <c r="AN4" s="1"/>
    </row>
    <row r="5" spans="1:40">
      <c r="A5" t="s">
        <v>194</v>
      </c>
      <c r="B5">
        <v>4.5</v>
      </c>
      <c r="C5">
        <v>2</v>
      </c>
      <c r="D5">
        <v>0.55000000000000004</v>
      </c>
      <c r="F5">
        <v>0.11</v>
      </c>
      <c r="H5" s="83">
        <f t="shared" si="1"/>
        <v>2.9200153204633203E-6</v>
      </c>
      <c r="I5" s="83">
        <f t="shared" si="2"/>
        <v>3.1572882143271907E-6</v>
      </c>
      <c r="J5" s="83">
        <f t="shared" si="3"/>
        <v>3.2567254270146715E-4</v>
      </c>
      <c r="L5" s="83">
        <f t="shared" si="4"/>
        <v>1.0763861003861002E-5</v>
      </c>
      <c r="M5" s="83">
        <f t="shared" si="5"/>
        <v>5.2473822393822384E-6</v>
      </c>
      <c r="N5" s="83">
        <f t="shared" si="6"/>
        <v>7.1759073359073361E-8</v>
      </c>
      <c r="O5" s="83">
        <f t="shared" si="7"/>
        <v>5.3127359999999993E-6</v>
      </c>
      <c r="P5" s="83">
        <f t="shared" si="8"/>
        <v>4.1469999999999997E-7</v>
      </c>
      <c r="Q5" s="83">
        <f t="shared" si="9"/>
        <v>4.9067544855780146E-2</v>
      </c>
      <c r="R5" s="83">
        <f t="shared" si="0"/>
        <v>0.6531918744061892</v>
      </c>
      <c r="S5" s="83">
        <f t="shared" si="10"/>
        <v>0</v>
      </c>
      <c r="T5" s="83">
        <f t="shared" si="11"/>
        <v>5.0622370266479665E-2</v>
      </c>
      <c r="U5" s="83">
        <f t="shared" si="12"/>
        <v>5.8765932318873481E-3</v>
      </c>
      <c r="V5" s="83">
        <f t="shared" si="13"/>
        <v>2.3150215761980467E-3</v>
      </c>
      <c r="W5" s="83">
        <f t="shared" si="14"/>
        <v>0.28255135135135134</v>
      </c>
      <c r="X5" s="83">
        <f t="shared" si="15"/>
        <v>0.56510270270270269</v>
      </c>
      <c r="Y5" s="83">
        <f t="shared" si="16"/>
        <v>8.9698841698841695E-8</v>
      </c>
      <c r="Z5" s="83">
        <f t="shared" si="17"/>
        <v>1.0193050193050191E-6</v>
      </c>
      <c r="AA5" s="83">
        <f t="shared" si="18"/>
        <v>1.0193050193050192E-15</v>
      </c>
      <c r="AB5" s="131">
        <f t="shared" si="19"/>
        <v>17.20909857598182</v>
      </c>
      <c r="AG5" s="3"/>
      <c r="AI5" s="3"/>
      <c r="AL5" s="1"/>
      <c r="AN5" s="1"/>
    </row>
    <row r="6" spans="1:40">
      <c r="A6" t="s">
        <v>195</v>
      </c>
      <c r="B6">
        <v>4.5</v>
      </c>
      <c r="C6">
        <v>2</v>
      </c>
      <c r="D6">
        <v>0.72</v>
      </c>
      <c r="F6">
        <v>0.11</v>
      </c>
      <c r="H6" s="83">
        <f t="shared" si="1"/>
        <v>2.9200153204633203E-6</v>
      </c>
      <c r="I6" s="83">
        <f t="shared" si="2"/>
        <v>4.1331772987555942E-6</v>
      </c>
      <c r="J6" s="83">
        <f t="shared" si="3"/>
        <v>3.2567254270146715E-4</v>
      </c>
      <c r="L6" s="83">
        <f t="shared" si="4"/>
        <v>1.0763861003861002E-5</v>
      </c>
      <c r="M6" s="83">
        <f t="shared" si="5"/>
        <v>5.2473822393822384E-6</v>
      </c>
      <c r="N6" s="83">
        <f t="shared" si="6"/>
        <v>7.1759073359073361E-8</v>
      </c>
      <c r="O6" s="83">
        <f t="shared" si="7"/>
        <v>5.3127359999999993E-6</v>
      </c>
      <c r="P6" s="83">
        <f t="shared" si="8"/>
        <v>4.1469999999999997E-7</v>
      </c>
      <c r="Q6" s="83">
        <f t="shared" si="9"/>
        <v>4.9067544855780146E-2</v>
      </c>
      <c r="R6" s="83">
        <f t="shared" si="0"/>
        <v>0.85508754467719306</v>
      </c>
      <c r="S6" s="83">
        <f t="shared" si="10"/>
        <v>0</v>
      </c>
      <c r="T6" s="83">
        <f t="shared" si="11"/>
        <v>6.6269284712482474E-2</v>
      </c>
      <c r="U6" s="83">
        <f t="shared" si="12"/>
        <v>5.8765932318873481E-3</v>
      </c>
      <c r="V6" s="83">
        <f t="shared" si="13"/>
        <v>2.3150215761980467E-3</v>
      </c>
      <c r="W6" s="83">
        <f t="shared" si="14"/>
        <v>0.28255135135135134</v>
      </c>
      <c r="X6" s="83">
        <f t="shared" si="15"/>
        <v>0.56510270270270269</v>
      </c>
      <c r="Y6" s="83">
        <f t="shared" si="16"/>
        <v>8.9698841698841695E-8</v>
      </c>
      <c r="Z6" s="83">
        <f t="shared" si="17"/>
        <v>1.0193050193050191E-6</v>
      </c>
      <c r="AA6" s="83">
        <f t="shared" si="18"/>
        <v>1.0193050193050192E-15</v>
      </c>
      <c r="AB6" s="131">
        <f t="shared" si="19"/>
        <v>17.302935954240699</v>
      </c>
      <c r="AG6" s="3"/>
      <c r="AI6" s="3"/>
      <c r="AL6" s="1"/>
      <c r="AN6" s="1"/>
    </row>
    <row r="7" spans="1:40">
      <c r="A7" t="s">
        <v>196</v>
      </c>
      <c r="B7">
        <v>4.5</v>
      </c>
      <c r="C7">
        <v>2</v>
      </c>
      <c r="D7">
        <v>0.57999999999999996</v>
      </c>
      <c r="F7">
        <v>0.11</v>
      </c>
      <c r="H7" s="83">
        <f t="shared" si="1"/>
        <v>2.9200153204633203E-6</v>
      </c>
      <c r="I7" s="83">
        <f t="shared" si="2"/>
        <v>3.3295039351086731E-6</v>
      </c>
      <c r="J7" s="83">
        <f t="shared" si="3"/>
        <v>3.2567254270146715E-4</v>
      </c>
      <c r="L7" s="83">
        <f t="shared" si="4"/>
        <v>1.0763861003861002E-5</v>
      </c>
      <c r="M7" s="83">
        <f t="shared" si="5"/>
        <v>5.2473822393822384E-6</v>
      </c>
      <c r="N7" s="83">
        <f t="shared" si="6"/>
        <v>7.1759073359073361E-8</v>
      </c>
      <c r="O7" s="83">
        <f t="shared" si="7"/>
        <v>5.3127359999999993E-6</v>
      </c>
      <c r="P7" s="83">
        <f t="shared" si="8"/>
        <v>4.1469999999999997E-7</v>
      </c>
      <c r="Q7" s="83">
        <f t="shared" si="9"/>
        <v>4.9067544855780146E-2</v>
      </c>
      <c r="R7" s="83">
        <f t="shared" si="0"/>
        <v>0.68882052210107214</v>
      </c>
      <c r="S7" s="83">
        <f t="shared" si="10"/>
        <v>0</v>
      </c>
      <c r="T7" s="83">
        <f t="shared" si="11"/>
        <v>5.33835904628331E-2</v>
      </c>
      <c r="U7" s="83">
        <f t="shared" si="12"/>
        <v>5.8765932318873481E-3</v>
      </c>
      <c r="V7" s="83">
        <f t="shared" si="13"/>
        <v>2.3150215761980467E-3</v>
      </c>
      <c r="W7" s="83">
        <f t="shared" si="14"/>
        <v>0.28255135135135134</v>
      </c>
      <c r="X7" s="83">
        <f t="shared" si="15"/>
        <v>0.56510270270270269</v>
      </c>
      <c r="Y7" s="83">
        <f t="shared" si="16"/>
        <v>8.9698841698841695E-8</v>
      </c>
      <c r="Z7" s="83">
        <f t="shared" si="17"/>
        <v>1.0193050193050191E-6</v>
      </c>
      <c r="AA7" s="83">
        <f t="shared" si="18"/>
        <v>1.0193050193050192E-15</v>
      </c>
      <c r="AB7" s="131">
        <f t="shared" si="19"/>
        <v>17.225658113321618</v>
      </c>
      <c r="AG7" s="3"/>
      <c r="AI7" s="3"/>
      <c r="AL7" s="1"/>
      <c r="AN7" s="1"/>
    </row>
    <row r="8" spans="1:40">
      <c r="A8" t="s">
        <v>197</v>
      </c>
      <c r="B8">
        <v>4.5</v>
      </c>
      <c r="C8">
        <v>2</v>
      </c>
      <c r="D8">
        <v>0.94</v>
      </c>
      <c r="F8">
        <v>0.11</v>
      </c>
      <c r="H8" s="83">
        <f t="shared" si="1"/>
        <v>2.9200153204633203E-6</v>
      </c>
      <c r="I8" s="83">
        <f t="shared" si="2"/>
        <v>5.3960925844864697E-6</v>
      </c>
      <c r="J8" s="83">
        <f t="shared" si="3"/>
        <v>3.2567254270146715E-4</v>
      </c>
      <c r="L8" s="83">
        <f t="shared" si="4"/>
        <v>1.0763861003861002E-5</v>
      </c>
      <c r="M8" s="83">
        <f t="shared" si="5"/>
        <v>5.2473822393822384E-6</v>
      </c>
      <c r="N8" s="83">
        <f t="shared" si="6"/>
        <v>7.1759073359073361E-8</v>
      </c>
      <c r="O8" s="83">
        <f t="shared" si="7"/>
        <v>5.3127359999999993E-6</v>
      </c>
      <c r="P8" s="83">
        <f t="shared" si="8"/>
        <v>4.1469999999999997E-7</v>
      </c>
      <c r="Q8" s="83">
        <f t="shared" si="9"/>
        <v>4.9067544855780146E-2</v>
      </c>
      <c r="R8" s="83">
        <f t="shared" si="0"/>
        <v>1.1163642944396688</v>
      </c>
      <c r="S8" s="83">
        <f t="shared" si="10"/>
        <v>0</v>
      </c>
      <c r="T8" s="83">
        <f t="shared" si="11"/>
        <v>8.6518232819074337E-2</v>
      </c>
      <c r="U8" s="83">
        <f t="shared" si="12"/>
        <v>5.8765932318873481E-3</v>
      </c>
      <c r="V8" s="83">
        <f t="shared" si="13"/>
        <v>2.3150215761980467E-3</v>
      </c>
      <c r="W8" s="83">
        <f t="shared" si="14"/>
        <v>0.28255135135135134</v>
      </c>
      <c r="X8" s="83">
        <f t="shared" si="15"/>
        <v>0.56510270270270269</v>
      </c>
      <c r="Y8" s="83">
        <f t="shared" si="16"/>
        <v>8.9698841698841695E-8</v>
      </c>
      <c r="Z8" s="83">
        <f t="shared" si="17"/>
        <v>1.0193050193050191E-6</v>
      </c>
      <c r="AA8" s="83">
        <f t="shared" si="18"/>
        <v>1.0193050193050192E-15</v>
      </c>
      <c r="AB8" s="131">
        <f t="shared" si="19"/>
        <v>17.424372561399256</v>
      </c>
      <c r="AG8" s="3"/>
      <c r="AI8" s="3"/>
      <c r="AL8" s="1"/>
      <c r="AN8" s="1"/>
    </row>
    <row r="9" spans="1:40">
      <c r="A9" t="s">
        <v>198</v>
      </c>
      <c r="B9">
        <v>4.5</v>
      </c>
      <c r="C9">
        <v>2</v>
      </c>
      <c r="D9">
        <v>0.45</v>
      </c>
      <c r="F9">
        <v>0.11</v>
      </c>
      <c r="H9" s="83">
        <f t="shared" si="1"/>
        <v>2.9200153204633203E-6</v>
      </c>
      <c r="I9" s="83">
        <f t="shared" si="2"/>
        <v>2.5832358117222465E-6</v>
      </c>
      <c r="J9" s="83">
        <f t="shared" si="3"/>
        <v>3.2567254270146715E-4</v>
      </c>
      <c r="L9" s="83">
        <f t="shared" si="4"/>
        <v>1.0763861003861002E-5</v>
      </c>
      <c r="M9" s="83">
        <f t="shared" si="5"/>
        <v>5.2473822393822384E-6</v>
      </c>
      <c r="N9" s="83">
        <f t="shared" si="6"/>
        <v>7.1759073359073361E-8</v>
      </c>
      <c r="O9" s="83">
        <f t="shared" si="7"/>
        <v>5.3127359999999993E-6</v>
      </c>
      <c r="P9" s="83">
        <f t="shared" si="8"/>
        <v>4.1469999999999997E-7</v>
      </c>
      <c r="Q9" s="83">
        <f t="shared" si="9"/>
        <v>4.9067544855780146E-2</v>
      </c>
      <c r="R9" s="83">
        <f t="shared" si="0"/>
        <v>0.53442971542324569</v>
      </c>
      <c r="S9" s="83">
        <f t="shared" si="10"/>
        <v>0</v>
      </c>
      <c r="T9" s="83">
        <f t="shared" si="11"/>
        <v>4.1418302945301542E-2</v>
      </c>
      <c r="U9" s="83">
        <f t="shared" si="12"/>
        <v>5.8765932318873481E-3</v>
      </c>
      <c r="V9" s="83">
        <f t="shared" si="13"/>
        <v>2.3150215761980467E-3</v>
      </c>
      <c r="W9" s="83">
        <f t="shared" si="14"/>
        <v>0.28255135135135134</v>
      </c>
      <c r="X9" s="83">
        <f t="shared" si="15"/>
        <v>0.56510270270270269</v>
      </c>
      <c r="Y9" s="83">
        <f t="shared" si="16"/>
        <v>8.9698841698841695E-8</v>
      </c>
      <c r="Z9" s="83">
        <f t="shared" si="17"/>
        <v>1.0193050193050191E-6</v>
      </c>
      <c r="AA9" s="83">
        <f t="shared" si="18"/>
        <v>1.0193050193050192E-15</v>
      </c>
      <c r="AB9" s="131">
        <f t="shared" si="19"/>
        <v>17.153900118182474</v>
      </c>
      <c r="AG9" s="3"/>
      <c r="AI9" s="3"/>
      <c r="AL9" s="1"/>
      <c r="AN9" s="1"/>
    </row>
    <row r="10" spans="1:40">
      <c r="A10" s="5" t="s">
        <v>635</v>
      </c>
      <c r="B10">
        <v>4.5</v>
      </c>
      <c r="C10">
        <v>2</v>
      </c>
      <c r="D10">
        <v>0.17299999999999999</v>
      </c>
      <c r="F10">
        <v>0.11</v>
      </c>
      <c r="H10" s="83">
        <f t="shared" si="1"/>
        <v>2.9200153204633203E-6</v>
      </c>
      <c r="I10" s="83">
        <f t="shared" si="2"/>
        <v>9.9311065650655257E-7</v>
      </c>
      <c r="J10" s="83">
        <f t="shared" si="3"/>
        <v>3.2567254270146715E-4</v>
      </c>
      <c r="L10" s="83">
        <f t="shared" si="4"/>
        <v>1.0763861003861002E-5</v>
      </c>
      <c r="M10" s="83">
        <f t="shared" si="5"/>
        <v>5.2473822393822384E-6</v>
      </c>
      <c r="N10" s="83">
        <f t="shared" si="6"/>
        <v>7.1759073359073361E-8</v>
      </c>
      <c r="O10" s="83">
        <f t="shared" si="7"/>
        <v>5.3127359999999993E-6</v>
      </c>
      <c r="P10" s="83">
        <f t="shared" si="8"/>
        <v>4.1469999999999997E-7</v>
      </c>
      <c r="Q10" s="83">
        <f t="shared" si="9"/>
        <v>4.9067544855780146E-2</v>
      </c>
      <c r="R10" s="83">
        <f t="shared" si="0"/>
        <v>0.20545853504049222</v>
      </c>
      <c r="S10" s="83">
        <f t="shared" si="10"/>
        <v>0</v>
      </c>
      <c r="T10" s="83">
        <f t="shared" si="11"/>
        <v>1.5923036465638148E-2</v>
      </c>
      <c r="U10" s="83">
        <f t="shared" si="12"/>
        <v>5.8765932318873481E-3</v>
      </c>
      <c r="V10" s="83">
        <f t="shared" si="13"/>
        <v>2.3150215761980467E-3</v>
      </c>
      <c r="W10" s="83">
        <f t="shared" si="14"/>
        <v>0.28255135135135134</v>
      </c>
      <c r="X10" s="83">
        <f t="shared" si="15"/>
        <v>0.56510270270270269</v>
      </c>
      <c r="Y10" s="83">
        <f t="shared" si="16"/>
        <v>8.9698841698841695E-8</v>
      </c>
      <c r="Z10" s="83">
        <f t="shared" si="17"/>
        <v>1.0193050193050191E-6</v>
      </c>
      <c r="AA10" s="83">
        <f t="shared" si="18"/>
        <v>1.0193050193050192E-15</v>
      </c>
      <c r="AB10" s="131">
        <f t="shared" si="19"/>
        <v>17.0010003900783</v>
      </c>
      <c r="AG10" s="3"/>
      <c r="AI10" s="3"/>
      <c r="AL10" s="1"/>
      <c r="AN10" s="1"/>
    </row>
    <row r="11" spans="1:40">
      <c r="A11" t="s">
        <v>199</v>
      </c>
      <c r="B11">
        <v>4.5</v>
      </c>
      <c r="C11">
        <v>2</v>
      </c>
      <c r="D11">
        <v>1.04</v>
      </c>
      <c r="F11">
        <v>0.11</v>
      </c>
      <c r="H11" s="83">
        <f t="shared" si="1"/>
        <v>2.9200153204633203E-6</v>
      </c>
      <c r="I11" s="83">
        <f t="shared" si="2"/>
        <v>5.9701449870914148E-6</v>
      </c>
      <c r="J11" s="83">
        <f t="shared" si="3"/>
        <v>3.2567254270146715E-4</v>
      </c>
      <c r="L11" s="83">
        <f t="shared" si="4"/>
        <v>1.0763861003861002E-5</v>
      </c>
      <c r="M11" s="83">
        <f t="shared" si="5"/>
        <v>5.2473822393822384E-6</v>
      </c>
      <c r="N11" s="83">
        <f t="shared" si="6"/>
        <v>7.1759073359073361E-8</v>
      </c>
      <c r="O11" s="83">
        <f t="shared" si="7"/>
        <v>5.3127359999999993E-6</v>
      </c>
      <c r="P11" s="83">
        <f t="shared" si="8"/>
        <v>4.1469999999999997E-7</v>
      </c>
      <c r="Q11" s="83">
        <f t="shared" si="9"/>
        <v>4.9067544855780146E-2</v>
      </c>
      <c r="R11" s="83">
        <f t="shared" si="0"/>
        <v>1.2351264534226123</v>
      </c>
      <c r="S11" s="83">
        <f t="shared" si="10"/>
        <v>0</v>
      </c>
      <c r="T11" s="83">
        <f t="shared" si="11"/>
        <v>9.5722300140252459E-2</v>
      </c>
      <c r="U11" s="83">
        <f t="shared" si="12"/>
        <v>5.8765932318873481E-3</v>
      </c>
      <c r="V11" s="83">
        <f t="shared" si="13"/>
        <v>2.3150215761980467E-3</v>
      </c>
      <c r="W11" s="83">
        <f t="shared" si="14"/>
        <v>0.28255135135135134</v>
      </c>
      <c r="X11" s="83">
        <f t="shared" si="15"/>
        <v>0.56510270270270269</v>
      </c>
      <c r="Y11" s="83">
        <f t="shared" si="16"/>
        <v>8.9698841698841695E-8</v>
      </c>
      <c r="Z11" s="83">
        <f t="shared" si="17"/>
        <v>1.0193050193050191E-6</v>
      </c>
      <c r="AA11" s="83">
        <f t="shared" si="18"/>
        <v>1.0193050193050192E-15</v>
      </c>
      <c r="AB11" s="131">
        <f t="shared" si="19"/>
        <v>17.479571019198595</v>
      </c>
      <c r="AG11" s="3"/>
      <c r="AI11" s="3"/>
      <c r="AL11" s="1"/>
      <c r="AN11" s="1"/>
    </row>
    <row r="12" spans="1:40">
      <c r="A12" t="s">
        <v>200</v>
      </c>
      <c r="B12">
        <v>4.5</v>
      </c>
      <c r="C12">
        <v>2</v>
      </c>
      <c r="D12">
        <v>0.82</v>
      </c>
      <c r="F12">
        <v>0.11</v>
      </c>
      <c r="H12" s="83">
        <f t="shared" si="1"/>
        <v>2.9200153204633203E-6</v>
      </c>
      <c r="I12" s="83">
        <f t="shared" si="2"/>
        <v>4.7072297013605375E-6</v>
      </c>
      <c r="J12" s="83">
        <f t="shared" si="3"/>
        <v>3.2567254270146715E-4</v>
      </c>
      <c r="L12" s="83">
        <f t="shared" si="4"/>
        <v>1.0763861003861002E-5</v>
      </c>
      <c r="M12" s="83">
        <f t="shared" si="5"/>
        <v>5.2473822393822384E-6</v>
      </c>
      <c r="N12" s="83">
        <f t="shared" si="6"/>
        <v>7.1759073359073361E-8</v>
      </c>
      <c r="O12" s="83">
        <f t="shared" si="7"/>
        <v>5.3127359999999993E-6</v>
      </c>
      <c r="P12" s="83">
        <f t="shared" si="8"/>
        <v>4.1469999999999997E-7</v>
      </c>
      <c r="Q12" s="83">
        <f t="shared" si="9"/>
        <v>4.9067544855780146E-2</v>
      </c>
      <c r="R12" s="83">
        <f t="shared" si="0"/>
        <v>0.97384970366013657</v>
      </c>
      <c r="S12" s="83">
        <f t="shared" si="10"/>
        <v>0</v>
      </c>
      <c r="T12" s="83">
        <f t="shared" si="11"/>
        <v>7.5473352033660582E-2</v>
      </c>
      <c r="U12" s="83">
        <f t="shared" si="12"/>
        <v>5.8765932318873481E-3</v>
      </c>
      <c r="V12" s="83">
        <f t="shared" si="13"/>
        <v>2.3150215761980467E-3</v>
      </c>
      <c r="W12" s="83">
        <f t="shared" si="14"/>
        <v>0.28255135135135134</v>
      </c>
      <c r="X12" s="83">
        <f t="shared" si="15"/>
        <v>0.56510270270270269</v>
      </c>
      <c r="Y12" s="83">
        <f t="shared" si="16"/>
        <v>8.9698841698841695E-8</v>
      </c>
      <c r="Z12" s="83">
        <f t="shared" si="17"/>
        <v>1.0193050193050191E-6</v>
      </c>
      <c r="AA12" s="83">
        <f t="shared" si="18"/>
        <v>1.0193050193050192E-15</v>
      </c>
      <c r="AB12" s="131">
        <f t="shared" si="19"/>
        <v>17.358134412040041</v>
      </c>
      <c r="AG12" s="3"/>
      <c r="AI12" s="3"/>
      <c r="AL12" s="1"/>
      <c r="AN12" s="1"/>
    </row>
    <row r="13" spans="1:40">
      <c r="A13" t="s">
        <v>201</v>
      </c>
      <c r="B13">
        <v>4.5</v>
      </c>
      <c r="C13">
        <v>2</v>
      </c>
      <c r="D13">
        <v>0.9</v>
      </c>
      <c r="F13">
        <v>0.11</v>
      </c>
      <c r="H13" s="83">
        <f t="shared" si="1"/>
        <v>2.9200153204633203E-6</v>
      </c>
      <c r="I13" s="83">
        <f t="shared" si="2"/>
        <v>5.1664716234444929E-6</v>
      </c>
      <c r="J13" s="83">
        <f t="shared" si="3"/>
        <v>3.2567254270146715E-4</v>
      </c>
      <c r="L13" s="83">
        <f t="shared" si="4"/>
        <v>1.0763861003861002E-5</v>
      </c>
      <c r="M13" s="83">
        <f t="shared" si="5"/>
        <v>5.2473822393822384E-6</v>
      </c>
      <c r="N13" s="83">
        <f t="shared" si="6"/>
        <v>7.1759073359073361E-8</v>
      </c>
      <c r="O13" s="83">
        <f t="shared" si="7"/>
        <v>5.3127359999999993E-6</v>
      </c>
      <c r="P13" s="83">
        <f t="shared" si="8"/>
        <v>4.1469999999999997E-7</v>
      </c>
      <c r="Q13" s="83">
        <f t="shared" si="9"/>
        <v>4.9067544855780146E-2</v>
      </c>
      <c r="R13" s="83">
        <f t="shared" si="0"/>
        <v>1.0688594308464914</v>
      </c>
      <c r="S13" s="83">
        <f t="shared" si="10"/>
        <v>0</v>
      </c>
      <c r="T13" s="83">
        <f t="shared" si="11"/>
        <v>8.2836605890603085E-2</v>
      </c>
      <c r="U13" s="83">
        <f t="shared" si="12"/>
        <v>5.8765932318873481E-3</v>
      </c>
      <c r="V13" s="83">
        <f t="shared" si="13"/>
        <v>2.3150215761980467E-3</v>
      </c>
      <c r="W13" s="83">
        <f t="shared" si="14"/>
        <v>0.28255135135135134</v>
      </c>
      <c r="X13" s="83">
        <f t="shared" si="15"/>
        <v>0.56510270270270269</v>
      </c>
      <c r="Y13" s="83">
        <f t="shared" si="16"/>
        <v>8.9698841698841695E-8</v>
      </c>
      <c r="Z13" s="83">
        <f t="shared" si="17"/>
        <v>1.0193050193050191E-6</v>
      </c>
      <c r="AA13" s="83">
        <f t="shared" si="18"/>
        <v>1.0193050193050192E-15</v>
      </c>
      <c r="AB13" s="131">
        <f t="shared" si="19"/>
        <v>17.402293178279514</v>
      </c>
      <c r="AG13" s="3"/>
      <c r="AI13" s="3"/>
      <c r="AL13" s="1"/>
      <c r="AN13" s="1"/>
    </row>
    <row r="14" spans="1:40">
      <c r="A14" t="s">
        <v>614</v>
      </c>
      <c r="B14">
        <v>4.5</v>
      </c>
      <c r="C14">
        <v>2</v>
      </c>
      <c r="D14">
        <v>0.47899999999999998</v>
      </c>
      <c r="F14">
        <v>0.11</v>
      </c>
      <c r="H14" s="83">
        <f t="shared" si="1"/>
        <v>2.9200153204633203E-6</v>
      </c>
      <c r="I14" s="83">
        <f t="shared" si="2"/>
        <v>2.7497110084776802E-6</v>
      </c>
      <c r="J14" s="83">
        <f t="shared" si="3"/>
        <v>3.2567254270146715E-4</v>
      </c>
      <c r="L14" s="83">
        <f t="shared" si="4"/>
        <v>1.0763861003861002E-5</v>
      </c>
      <c r="M14" s="83">
        <f t="shared" si="5"/>
        <v>5.2473822393822384E-6</v>
      </c>
      <c r="N14" s="83">
        <f t="shared" si="6"/>
        <v>7.1759073359073361E-8</v>
      </c>
      <c r="O14" s="83">
        <f t="shared" si="7"/>
        <v>5.3127359999999993E-6</v>
      </c>
      <c r="P14" s="83">
        <f t="shared" si="8"/>
        <v>4.1469999999999997E-7</v>
      </c>
      <c r="Q14" s="83">
        <f t="shared" si="9"/>
        <v>4.9067544855780146E-2</v>
      </c>
      <c r="R14" s="83">
        <f t="shared" si="0"/>
        <v>0.56887074152829931</v>
      </c>
      <c r="S14" s="83">
        <f t="shared" si="10"/>
        <v>0</v>
      </c>
      <c r="T14" s="83">
        <f t="shared" si="11"/>
        <v>4.4087482468443198E-2</v>
      </c>
      <c r="U14" s="83">
        <f t="shared" si="12"/>
        <v>5.8765932318873481E-3</v>
      </c>
      <c r="V14" s="83">
        <f t="shared" si="13"/>
        <v>2.3150215761980467E-3</v>
      </c>
      <c r="W14" s="83">
        <f t="shared" si="14"/>
        <v>0.28255135135135134</v>
      </c>
      <c r="X14" s="83">
        <f t="shared" si="15"/>
        <v>0.56510270270270269</v>
      </c>
      <c r="Y14" s="83">
        <f t="shared" si="16"/>
        <v>8.9698841698841695E-8</v>
      </c>
      <c r="Z14" s="83">
        <f t="shared" si="17"/>
        <v>1.0193050193050191E-6</v>
      </c>
      <c r="AA14" s="83">
        <f t="shared" si="18"/>
        <v>1.0193050193050192E-15</v>
      </c>
      <c r="AB14" s="131">
        <f t="shared" si="19"/>
        <v>17.169907670944283</v>
      </c>
      <c r="AG14" s="3"/>
      <c r="AI14" s="3"/>
      <c r="AL14" s="1"/>
      <c r="AN14" s="1"/>
    </row>
    <row r="15" spans="1:40">
      <c r="A15" t="s">
        <v>615</v>
      </c>
      <c r="B15">
        <v>4.5</v>
      </c>
      <c r="C15">
        <v>2</v>
      </c>
      <c r="D15">
        <v>0.24099999999999999</v>
      </c>
      <c r="F15">
        <v>0.11</v>
      </c>
      <c r="H15" s="83">
        <f t="shared" si="1"/>
        <v>2.9200153204633203E-6</v>
      </c>
      <c r="I15" s="83">
        <f t="shared" si="2"/>
        <v>1.3834662902779141E-6</v>
      </c>
      <c r="J15" s="83">
        <f t="shared" si="3"/>
        <v>3.2567254270146715E-4</v>
      </c>
      <c r="L15" s="83">
        <f t="shared" si="4"/>
        <v>1.0763861003861002E-5</v>
      </c>
      <c r="M15" s="83">
        <f t="shared" si="5"/>
        <v>5.2473822393822384E-6</v>
      </c>
      <c r="N15" s="83">
        <f t="shared" si="6"/>
        <v>7.1759073359073361E-8</v>
      </c>
      <c r="O15" s="83">
        <f t="shared" si="7"/>
        <v>5.3127359999999993E-6</v>
      </c>
      <c r="P15" s="83">
        <f t="shared" si="8"/>
        <v>4.1469999999999997E-7</v>
      </c>
      <c r="Q15" s="83">
        <f t="shared" si="9"/>
        <v>4.9067544855780146E-2</v>
      </c>
      <c r="R15" s="83">
        <f t="shared" si="0"/>
        <v>0.28621680314889381</v>
      </c>
      <c r="S15" s="83">
        <f t="shared" si="10"/>
        <v>0</v>
      </c>
      <c r="T15" s="83">
        <f t="shared" si="11"/>
        <v>2.2181802244039272E-2</v>
      </c>
      <c r="U15" s="83">
        <f t="shared" si="12"/>
        <v>5.8765932318873481E-3</v>
      </c>
      <c r="V15" s="83">
        <f t="shared" si="13"/>
        <v>2.3150215761980467E-3</v>
      </c>
      <c r="W15" s="83">
        <f t="shared" si="14"/>
        <v>0.28255135135135134</v>
      </c>
      <c r="X15" s="83">
        <f t="shared" si="15"/>
        <v>0.56510270270270269</v>
      </c>
      <c r="Y15" s="83">
        <f t="shared" si="16"/>
        <v>8.9698841698841695E-8</v>
      </c>
      <c r="Z15" s="83">
        <f t="shared" si="17"/>
        <v>1.0193050193050191E-6</v>
      </c>
      <c r="AA15" s="83">
        <f t="shared" si="18"/>
        <v>1.0193050193050192E-15</v>
      </c>
      <c r="AB15" s="131">
        <f t="shared" si="19"/>
        <v>17.038535341381856</v>
      </c>
      <c r="AG15" s="3"/>
      <c r="AI15" s="3"/>
      <c r="AL15" s="1"/>
      <c r="AN15" s="1"/>
    </row>
    <row r="16" spans="1:40">
      <c r="A16" t="s">
        <v>202</v>
      </c>
      <c r="B16">
        <v>4.5</v>
      </c>
      <c r="C16">
        <v>2</v>
      </c>
      <c r="D16">
        <v>1</v>
      </c>
      <c r="F16">
        <v>0.11</v>
      </c>
      <c r="H16" s="83">
        <f t="shared" si="1"/>
        <v>2.9200153204633203E-6</v>
      </c>
      <c r="I16" s="83">
        <f t="shared" si="2"/>
        <v>5.7405240260494371E-6</v>
      </c>
      <c r="J16" s="83">
        <f t="shared" si="3"/>
        <v>3.2567254270146715E-4</v>
      </c>
      <c r="L16" s="83">
        <f t="shared" si="4"/>
        <v>1.0763861003861002E-5</v>
      </c>
      <c r="M16" s="83">
        <f t="shared" si="5"/>
        <v>5.2473822393822384E-6</v>
      </c>
      <c r="N16" s="83">
        <f t="shared" si="6"/>
        <v>7.1759073359073361E-8</v>
      </c>
      <c r="O16" s="83">
        <f t="shared" si="7"/>
        <v>5.3127359999999993E-6</v>
      </c>
      <c r="P16" s="83">
        <f t="shared" si="8"/>
        <v>4.1469999999999997E-7</v>
      </c>
      <c r="Q16" s="83">
        <f t="shared" si="9"/>
        <v>4.9067544855780146E-2</v>
      </c>
      <c r="R16" s="83">
        <f t="shared" si="0"/>
        <v>1.1876215898294349</v>
      </c>
      <c r="S16" s="83">
        <f t="shared" si="10"/>
        <v>0</v>
      </c>
      <c r="T16" s="83">
        <f t="shared" si="11"/>
        <v>9.2040673211781207E-2</v>
      </c>
      <c r="U16" s="83">
        <f t="shared" si="12"/>
        <v>5.8765932318873481E-3</v>
      </c>
      <c r="V16" s="83">
        <f t="shared" si="13"/>
        <v>2.3150215761980467E-3</v>
      </c>
      <c r="W16" s="83">
        <f t="shared" si="14"/>
        <v>0.28255135135135134</v>
      </c>
      <c r="X16" s="83">
        <f t="shared" si="15"/>
        <v>0.56510270270270269</v>
      </c>
      <c r="Y16" s="83">
        <f t="shared" si="16"/>
        <v>8.9698841698841695E-8</v>
      </c>
      <c r="Z16" s="83">
        <f t="shared" si="17"/>
        <v>1.0193050193050191E-6</v>
      </c>
      <c r="AA16" s="83">
        <f t="shared" si="18"/>
        <v>1.0193050193050192E-15</v>
      </c>
      <c r="AB16" s="131">
        <f t="shared" si="19"/>
        <v>17.45749163607886</v>
      </c>
      <c r="AG16" s="3"/>
      <c r="AI16" s="3"/>
      <c r="AL16" s="1"/>
      <c r="AN16" s="1"/>
    </row>
    <row r="17" spans="1:40">
      <c r="A17" t="s">
        <v>618</v>
      </c>
      <c r="B17">
        <v>4.5</v>
      </c>
      <c r="C17">
        <v>2</v>
      </c>
      <c r="D17">
        <v>0.41099999999999998</v>
      </c>
      <c r="F17">
        <v>0.11</v>
      </c>
      <c r="H17" s="83">
        <f t="shared" si="1"/>
        <v>2.9200153204633203E-6</v>
      </c>
      <c r="I17" s="83">
        <f t="shared" si="2"/>
        <v>2.3593553747063187E-6</v>
      </c>
      <c r="J17" s="83">
        <f t="shared" si="3"/>
        <v>3.2567254270146715E-4</v>
      </c>
      <c r="L17" s="83">
        <f t="shared" si="4"/>
        <v>1.0763861003861002E-5</v>
      </c>
      <c r="M17" s="83">
        <f t="shared" si="5"/>
        <v>5.2473822393822384E-6</v>
      </c>
      <c r="N17" s="83">
        <f t="shared" si="6"/>
        <v>7.1759073359073361E-8</v>
      </c>
      <c r="O17" s="83">
        <f t="shared" si="7"/>
        <v>5.3127359999999993E-6</v>
      </c>
      <c r="P17" s="83">
        <f t="shared" si="8"/>
        <v>4.1469999999999997E-7</v>
      </c>
      <c r="Q17" s="83">
        <f t="shared" si="9"/>
        <v>4.9067544855780146E-2</v>
      </c>
      <c r="R17" s="83">
        <f t="shared" si="0"/>
        <v>0.48811247341989772</v>
      </c>
      <c r="S17" s="83">
        <f t="shared" si="10"/>
        <v>0</v>
      </c>
      <c r="T17" s="83">
        <f t="shared" si="11"/>
        <v>3.7828716690042077E-2</v>
      </c>
      <c r="U17" s="83">
        <f t="shared" si="12"/>
        <v>5.8765932318873481E-3</v>
      </c>
      <c r="V17" s="83">
        <f t="shared" si="13"/>
        <v>2.3150215761980467E-3</v>
      </c>
      <c r="W17" s="83">
        <f t="shared" si="14"/>
        <v>0.28255135135135134</v>
      </c>
      <c r="X17" s="83">
        <f t="shared" si="15"/>
        <v>0.56510270270270269</v>
      </c>
      <c r="Y17" s="83">
        <f t="shared" si="16"/>
        <v>8.9698841698841695E-8</v>
      </c>
      <c r="Z17" s="83">
        <f t="shared" si="17"/>
        <v>1.0193050193050191E-6</v>
      </c>
      <c r="AA17" s="83">
        <f t="shared" si="18"/>
        <v>1.0193050193050192E-15</v>
      </c>
      <c r="AB17" s="131">
        <f t="shared" si="19"/>
        <v>17.132372719640735</v>
      </c>
      <c r="AG17" s="3"/>
      <c r="AI17" s="3"/>
      <c r="AL17" s="1"/>
      <c r="AN17" s="1"/>
    </row>
    <row r="18" spans="1:40">
      <c r="A18" t="s">
        <v>622</v>
      </c>
      <c r="B18">
        <v>4.5</v>
      </c>
      <c r="C18">
        <v>2</v>
      </c>
      <c r="D18">
        <v>0.36399999999999999</v>
      </c>
      <c r="F18">
        <v>0.11</v>
      </c>
      <c r="H18" s="83">
        <f t="shared" si="1"/>
        <v>2.9200153204633203E-6</v>
      </c>
      <c r="I18" s="83">
        <f t="shared" si="2"/>
        <v>2.089550745481995E-6</v>
      </c>
      <c r="J18" s="83">
        <f t="shared" si="3"/>
        <v>3.2567254270146715E-4</v>
      </c>
      <c r="L18" s="83">
        <f t="shared" si="4"/>
        <v>1.0763861003861002E-5</v>
      </c>
      <c r="M18" s="83">
        <f t="shared" si="5"/>
        <v>5.2473822393822384E-6</v>
      </c>
      <c r="N18" s="83">
        <f t="shared" si="6"/>
        <v>7.1759073359073361E-8</v>
      </c>
      <c r="O18" s="83">
        <f t="shared" si="7"/>
        <v>5.3127359999999993E-6</v>
      </c>
      <c r="P18" s="83">
        <f t="shared" si="8"/>
        <v>4.1469999999999997E-7</v>
      </c>
      <c r="Q18" s="83">
        <f t="shared" si="9"/>
        <v>4.9067544855780146E-2</v>
      </c>
      <c r="R18" s="83">
        <f t="shared" si="0"/>
        <v>0.43229425869791427</v>
      </c>
      <c r="S18" s="83">
        <f t="shared" si="10"/>
        <v>0</v>
      </c>
      <c r="T18" s="83">
        <f t="shared" si="11"/>
        <v>3.3502805049088362E-2</v>
      </c>
      <c r="U18" s="83">
        <f t="shared" si="12"/>
        <v>5.8765932318873481E-3</v>
      </c>
      <c r="V18" s="83">
        <f t="shared" si="13"/>
        <v>2.3150215761980467E-3</v>
      </c>
      <c r="W18" s="83">
        <f t="shared" si="14"/>
        <v>0.28255135135135134</v>
      </c>
      <c r="X18" s="83">
        <f t="shared" si="15"/>
        <v>0.56510270270270269</v>
      </c>
      <c r="Y18" s="83">
        <f t="shared" si="16"/>
        <v>8.9698841698841695E-8</v>
      </c>
      <c r="Z18" s="83">
        <f t="shared" si="17"/>
        <v>1.0193050193050191E-6</v>
      </c>
      <c r="AA18" s="83">
        <f t="shared" si="18"/>
        <v>1.0193050193050192E-15</v>
      </c>
      <c r="AB18" s="131">
        <f t="shared" si="19"/>
        <v>17.106429444475044</v>
      </c>
      <c r="AG18" s="3"/>
      <c r="AI18" s="3"/>
      <c r="AL18" s="1"/>
      <c r="AN18" s="1"/>
    </row>
    <row r="19" spans="1:40">
      <c r="A19" t="s">
        <v>203</v>
      </c>
      <c r="B19">
        <v>4.5</v>
      </c>
      <c r="C19">
        <v>2</v>
      </c>
      <c r="D19">
        <v>0.98</v>
      </c>
      <c r="F19">
        <v>0.11</v>
      </c>
      <c r="H19" s="83">
        <f t="shared" si="1"/>
        <v>2.9200153204633203E-6</v>
      </c>
      <c r="I19" s="83">
        <f t="shared" si="2"/>
        <v>5.6257135455284474E-6</v>
      </c>
      <c r="J19" s="83">
        <f t="shared" si="3"/>
        <v>3.2567254270146715E-4</v>
      </c>
      <c r="L19" s="83">
        <f t="shared" si="4"/>
        <v>1.0763861003861002E-5</v>
      </c>
      <c r="M19" s="83">
        <f t="shared" si="5"/>
        <v>5.2473822393822384E-6</v>
      </c>
      <c r="N19" s="83">
        <f t="shared" si="6"/>
        <v>7.1759073359073361E-8</v>
      </c>
      <c r="O19" s="83">
        <f t="shared" si="7"/>
        <v>5.3127359999999993E-6</v>
      </c>
      <c r="P19" s="83">
        <f t="shared" si="8"/>
        <v>4.1469999999999997E-7</v>
      </c>
      <c r="Q19" s="83">
        <f t="shared" si="9"/>
        <v>4.9067544855780146E-2</v>
      </c>
      <c r="R19" s="83">
        <f t="shared" si="0"/>
        <v>1.1638691580328462</v>
      </c>
      <c r="S19" s="83">
        <f t="shared" si="10"/>
        <v>0</v>
      </c>
      <c r="T19" s="83">
        <f t="shared" si="11"/>
        <v>9.0199859747545588E-2</v>
      </c>
      <c r="U19" s="83">
        <f t="shared" si="12"/>
        <v>5.8765932318873481E-3</v>
      </c>
      <c r="V19" s="83">
        <f t="shared" si="13"/>
        <v>2.3150215761980467E-3</v>
      </c>
      <c r="W19" s="83">
        <f t="shared" si="14"/>
        <v>0.28255135135135134</v>
      </c>
      <c r="X19" s="83">
        <f t="shared" si="15"/>
        <v>0.56510270270270269</v>
      </c>
      <c r="Y19" s="83">
        <f t="shared" si="16"/>
        <v>8.9698841698841695E-8</v>
      </c>
      <c r="Z19" s="83">
        <f t="shared" si="17"/>
        <v>1.0193050193050191E-6</v>
      </c>
      <c r="AA19" s="83">
        <f t="shared" si="18"/>
        <v>1.0193050193050192E-15</v>
      </c>
      <c r="AB19" s="131">
        <f t="shared" si="19"/>
        <v>17.446451944518991</v>
      </c>
      <c r="AG19" s="3"/>
      <c r="AI19" s="3"/>
      <c r="AL19" s="1"/>
      <c r="AN19" s="1"/>
    </row>
    <row r="20" spans="1:40">
      <c r="A20" t="s">
        <v>204</v>
      </c>
      <c r="B20">
        <v>4.5</v>
      </c>
      <c r="C20">
        <v>2</v>
      </c>
      <c r="D20">
        <v>0.87</v>
      </c>
      <c r="F20">
        <v>0.11</v>
      </c>
      <c r="H20" s="83">
        <f t="shared" si="1"/>
        <v>2.9200153204633203E-6</v>
      </c>
      <c r="I20" s="83">
        <f t="shared" si="2"/>
        <v>4.9942559026630101E-6</v>
      </c>
      <c r="J20" s="83">
        <f t="shared" si="3"/>
        <v>3.2567254270146715E-4</v>
      </c>
      <c r="L20" s="83">
        <f t="shared" si="4"/>
        <v>1.0763861003861002E-5</v>
      </c>
      <c r="M20" s="83">
        <f t="shared" si="5"/>
        <v>5.2473822393822384E-6</v>
      </c>
      <c r="N20" s="83">
        <f t="shared" si="6"/>
        <v>7.1759073359073361E-8</v>
      </c>
      <c r="O20" s="83">
        <f t="shared" si="7"/>
        <v>5.3127359999999993E-6</v>
      </c>
      <c r="P20" s="83">
        <f t="shared" si="8"/>
        <v>4.1469999999999997E-7</v>
      </c>
      <c r="Q20" s="83">
        <f t="shared" si="9"/>
        <v>4.9067544855780146E-2</v>
      </c>
      <c r="R20" s="83">
        <f t="shared" si="0"/>
        <v>1.0332307831516083</v>
      </c>
      <c r="S20" s="83">
        <f t="shared" si="10"/>
        <v>0</v>
      </c>
      <c r="T20" s="83">
        <f t="shared" si="11"/>
        <v>8.0075385694249657E-2</v>
      </c>
      <c r="U20" s="83">
        <f t="shared" si="12"/>
        <v>5.8765932318873481E-3</v>
      </c>
      <c r="V20" s="83">
        <f t="shared" si="13"/>
        <v>2.3150215761980467E-3</v>
      </c>
      <c r="W20" s="83">
        <f t="shared" si="14"/>
        <v>0.28255135135135134</v>
      </c>
      <c r="X20" s="83">
        <f t="shared" si="15"/>
        <v>0.56510270270270269</v>
      </c>
      <c r="Y20" s="83">
        <f t="shared" si="16"/>
        <v>8.9698841698841695E-8</v>
      </c>
      <c r="Z20" s="83">
        <f t="shared" si="17"/>
        <v>1.0193050193050191E-6</v>
      </c>
      <c r="AA20" s="83">
        <f t="shared" si="18"/>
        <v>1.0193050193050192E-15</v>
      </c>
      <c r="AB20" s="131">
        <f t="shared" si="19"/>
        <v>17.385733640939716</v>
      </c>
      <c r="AG20" s="3"/>
      <c r="AI20" s="3"/>
      <c r="AL20" s="1"/>
      <c r="AN20" s="1"/>
    </row>
    <row r="21" spans="1:40">
      <c r="A21" t="s">
        <v>205</v>
      </c>
      <c r="B21">
        <v>4.5</v>
      </c>
      <c r="C21">
        <v>2</v>
      </c>
      <c r="D21">
        <v>0.97</v>
      </c>
      <c r="F21">
        <v>0.11</v>
      </c>
      <c r="H21" s="83">
        <f t="shared" si="1"/>
        <v>2.9200153204633203E-6</v>
      </c>
      <c r="I21" s="83">
        <f t="shared" si="2"/>
        <v>5.5683083052679534E-6</v>
      </c>
      <c r="J21" s="83">
        <f t="shared" si="3"/>
        <v>3.2567254270146715E-4</v>
      </c>
      <c r="L21" s="83">
        <f t="shared" si="4"/>
        <v>1.0763861003861002E-5</v>
      </c>
      <c r="M21" s="83">
        <f t="shared" si="5"/>
        <v>5.2473822393822384E-6</v>
      </c>
      <c r="N21" s="83">
        <f t="shared" si="6"/>
        <v>7.1759073359073361E-8</v>
      </c>
      <c r="O21" s="83">
        <f t="shared" si="7"/>
        <v>5.3127359999999993E-6</v>
      </c>
      <c r="P21" s="83">
        <f t="shared" si="8"/>
        <v>4.1469999999999997E-7</v>
      </c>
      <c r="Q21" s="83">
        <f t="shared" si="9"/>
        <v>4.9067544855780146E-2</v>
      </c>
      <c r="R21" s="83">
        <f t="shared" si="0"/>
        <v>1.1519929421345518</v>
      </c>
      <c r="S21" s="83">
        <f t="shared" si="10"/>
        <v>0</v>
      </c>
      <c r="T21" s="83">
        <f t="shared" si="11"/>
        <v>8.9279453015427765E-2</v>
      </c>
      <c r="U21" s="83">
        <f t="shared" si="12"/>
        <v>5.8765932318873481E-3</v>
      </c>
      <c r="V21" s="83">
        <f t="shared" si="13"/>
        <v>2.3150215761980467E-3</v>
      </c>
      <c r="W21" s="83">
        <f t="shared" si="14"/>
        <v>0.28255135135135134</v>
      </c>
      <c r="X21" s="83">
        <f t="shared" si="15"/>
        <v>0.56510270270270269</v>
      </c>
      <c r="Y21" s="83">
        <f t="shared" si="16"/>
        <v>8.9698841698841695E-8</v>
      </c>
      <c r="Z21" s="83">
        <f t="shared" si="17"/>
        <v>1.0193050193050191E-6</v>
      </c>
      <c r="AA21" s="83">
        <f t="shared" si="18"/>
        <v>1.0193050193050192E-15</v>
      </c>
      <c r="AB21" s="131">
        <f t="shared" si="19"/>
        <v>17.440932098739051</v>
      </c>
      <c r="AG21" s="3"/>
      <c r="AI21" s="3"/>
      <c r="AL21" s="1"/>
      <c r="AN21" s="1"/>
    </row>
    <row r="22" spans="1:40">
      <c r="A22" t="s">
        <v>206</v>
      </c>
      <c r="B22">
        <v>4.5</v>
      </c>
      <c r="C22">
        <v>2</v>
      </c>
      <c r="D22">
        <v>0.87</v>
      </c>
      <c r="F22">
        <v>0.11</v>
      </c>
      <c r="H22" s="83">
        <f t="shared" si="1"/>
        <v>2.9200153204633203E-6</v>
      </c>
      <c r="I22" s="83">
        <f t="shared" si="2"/>
        <v>4.9942559026630101E-6</v>
      </c>
      <c r="J22" s="83">
        <f t="shared" si="3"/>
        <v>3.2567254270146715E-4</v>
      </c>
      <c r="L22" s="83">
        <f t="shared" si="4"/>
        <v>1.0763861003861002E-5</v>
      </c>
      <c r="M22" s="83">
        <f t="shared" si="5"/>
        <v>5.2473822393822384E-6</v>
      </c>
      <c r="N22" s="83">
        <f t="shared" si="6"/>
        <v>7.1759073359073361E-8</v>
      </c>
      <c r="O22" s="83">
        <f t="shared" si="7"/>
        <v>5.3127359999999993E-6</v>
      </c>
      <c r="P22" s="83">
        <f t="shared" si="8"/>
        <v>4.1469999999999997E-7</v>
      </c>
      <c r="Q22" s="83">
        <f t="shared" si="9"/>
        <v>4.9067544855780146E-2</v>
      </c>
      <c r="R22" s="83">
        <f t="shared" si="0"/>
        <v>1.0332307831516083</v>
      </c>
      <c r="S22" s="83">
        <f t="shared" si="10"/>
        <v>0</v>
      </c>
      <c r="T22" s="83">
        <f t="shared" si="11"/>
        <v>8.0075385694249657E-2</v>
      </c>
      <c r="U22" s="83">
        <f t="shared" si="12"/>
        <v>5.8765932318873481E-3</v>
      </c>
      <c r="V22" s="83">
        <f t="shared" si="13"/>
        <v>2.3150215761980467E-3</v>
      </c>
      <c r="W22" s="83">
        <f t="shared" si="14"/>
        <v>0.28255135135135134</v>
      </c>
      <c r="X22" s="83">
        <f t="shared" si="15"/>
        <v>0.56510270270270269</v>
      </c>
      <c r="Y22" s="83">
        <f t="shared" si="16"/>
        <v>8.9698841698841695E-8</v>
      </c>
      <c r="Z22" s="83">
        <f t="shared" si="17"/>
        <v>1.0193050193050191E-6</v>
      </c>
      <c r="AA22" s="83">
        <f t="shared" si="18"/>
        <v>1.0193050193050192E-15</v>
      </c>
      <c r="AB22" s="131">
        <f t="shared" si="19"/>
        <v>17.385733640939716</v>
      </c>
      <c r="AG22" s="3"/>
      <c r="AI22" s="3"/>
      <c r="AL22" s="1"/>
      <c r="AN22" s="1"/>
    </row>
    <row r="23" spans="1:40">
      <c r="A23" t="s">
        <v>207</v>
      </c>
      <c r="B23">
        <v>4.5</v>
      </c>
      <c r="C23">
        <v>2</v>
      </c>
      <c r="D23">
        <v>0.95</v>
      </c>
      <c r="F23">
        <v>0.11</v>
      </c>
      <c r="H23" s="83">
        <f t="shared" si="1"/>
        <v>2.9200153204633203E-6</v>
      </c>
      <c r="I23" s="83">
        <f t="shared" si="2"/>
        <v>5.4534978247469646E-6</v>
      </c>
      <c r="J23" s="83">
        <f t="shared" si="3"/>
        <v>3.2567254270146715E-4</v>
      </c>
      <c r="L23" s="83">
        <f t="shared" si="4"/>
        <v>1.0763861003861002E-5</v>
      </c>
      <c r="M23" s="83">
        <f t="shared" si="5"/>
        <v>5.2473822393822384E-6</v>
      </c>
      <c r="N23" s="83">
        <f t="shared" si="6"/>
        <v>7.1759073359073361E-8</v>
      </c>
      <c r="O23" s="83">
        <f t="shared" si="7"/>
        <v>5.3127359999999993E-6</v>
      </c>
      <c r="P23" s="83">
        <f t="shared" si="8"/>
        <v>4.1469999999999997E-7</v>
      </c>
      <c r="Q23" s="83">
        <f t="shared" si="9"/>
        <v>4.9067544855780146E-2</v>
      </c>
      <c r="R23" s="83">
        <f t="shared" si="0"/>
        <v>1.1282405103379631</v>
      </c>
      <c r="S23" s="83">
        <f t="shared" si="10"/>
        <v>0</v>
      </c>
      <c r="T23" s="83">
        <f t="shared" si="11"/>
        <v>8.7438639551192146E-2</v>
      </c>
      <c r="U23" s="83">
        <f t="shared" si="12"/>
        <v>5.8765932318873481E-3</v>
      </c>
      <c r="V23" s="83">
        <f t="shared" si="13"/>
        <v>2.3150215761980467E-3</v>
      </c>
      <c r="W23" s="83">
        <f t="shared" si="14"/>
        <v>0.28255135135135134</v>
      </c>
      <c r="X23" s="83">
        <f t="shared" si="15"/>
        <v>0.56510270270270269</v>
      </c>
      <c r="Y23" s="83">
        <f t="shared" si="16"/>
        <v>8.9698841698841695E-8</v>
      </c>
      <c r="Z23" s="83">
        <f t="shared" si="17"/>
        <v>1.0193050193050191E-6</v>
      </c>
      <c r="AA23" s="83">
        <f t="shared" si="18"/>
        <v>1.0193050193050192E-15</v>
      </c>
      <c r="AB23" s="131">
        <f t="shared" si="19"/>
        <v>17.429892407179185</v>
      </c>
      <c r="AG23" s="3"/>
      <c r="AI23" s="3"/>
      <c r="AL23" s="1"/>
      <c r="AN23" s="1"/>
    </row>
    <row r="24" spans="1:40">
      <c r="A24" t="s">
        <v>208</v>
      </c>
      <c r="B24">
        <v>4.5</v>
      </c>
      <c r="C24">
        <v>2</v>
      </c>
      <c r="D24">
        <v>0.88</v>
      </c>
      <c r="F24">
        <v>0.11</v>
      </c>
      <c r="H24" s="83">
        <f t="shared" si="1"/>
        <v>2.9200153204633203E-6</v>
      </c>
      <c r="I24" s="83">
        <f t="shared" si="2"/>
        <v>5.0516611429235049E-6</v>
      </c>
      <c r="J24" s="83">
        <f t="shared" si="3"/>
        <v>3.2567254270146715E-4</v>
      </c>
      <c r="L24" s="83">
        <f t="shared" si="4"/>
        <v>1.0763861003861002E-5</v>
      </c>
      <c r="M24" s="83">
        <f t="shared" si="5"/>
        <v>5.2473822393822384E-6</v>
      </c>
      <c r="N24" s="83">
        <f t="shared" si="6"/>
        <v>7.1759073359073361E-8</v>
      </c>
      <c r="O24" s="83">
        <f t="shared" si="7"/>
        <v>5.3127359999999993E-6</v>
      </c>
      <c r="P24" s="83">
        <f t="shared" si="8"/>
        <v>4.1469999999999997E-7</v>
      </c>
      <c r="Q24" s="83">
        <f t="shared" si="9"/>
        <v>4.9067544855780146E-2</v>
      </c>
      <c r="R24" s="83">
        <f t="shared" si="0"/>
        <v>1.0451069990499027</v>
      </c>
      <c r="S24" s="83">
        <f t="shared" si="10"/>
        <v>0</v>
      </c>
      <c r="T24" s="83">
        <f t="shared" si="11"/>
        <v>8.0995792426367466E-2</v>
      </c>
      <c r="U24" s="83">
        <f t="shared" si="12"/>
        <v>5.8765932318873481E-3</v>
      </c>
      <c r="V24" s="83">
        <f t="shared" si="13"/>
        <v>2.3150215761980467E-3</v>
      </c>
      <c r="W24" s="83">
        <f t="shared" si="14"/>
        <v>0.28255135135135134</v>
      </c>
      <c r="X24" s="83">
        <f t="shared" si="15"/>
        <v>0.56510270270270269</v>
      </c>
      <c r="Y24" s="83">
        <f t="shared" si="16"/>
        <v>8.9698841698841695E-8</v>
      </c>
      <c r="Z24" s="83">
        <f t="shared" si="17"/>
        <v>1.0193050193050191E-6</v>
      </c>
      <c r="AA24" s="83">
        <f t="shared" si="18"/>
        <v>1.0193050193050192E-15</v>
      </c>
      <c r="AB24" s="131">
        <f t="shared" si="19"/>
        <v>17.391253486719648</v>
      </c>
      <c r="AG24" s="3"/>
      <c r="AI24" s="3"/>
      <c r="AL24" s="1"/>
      <c r="AN24" s="1"/>
    </row>
    <row r="25" spans="1:40">
      <c r="A25" t="s">
        <v>209</v>
      </c>
      <c r="B25">
        <v>4.5</v>
      </c>
      <c r="C25">
        <v>2</v>
      </c>
      <c r="D25">
        <v>0.92</v>
      </c>
      <c r="F25">
        <v>0.11</v>
      </c>
      <c r="H25" s="83">
        <f t="shared" si="1"/>
        <v>2.9200153204633203E-6</v>
      </c>
      <c r="I25" s="83">
        <f t="shared" si="2"/>
        <v>5.2812821039654826E-6</v>
      </c>
      <c r="J25" s="83">
        <f t="shared" si="3"/>
        <v>3.2567254270146715E-4</v>
      </c>
      <c r="L25" s="83">
        <f t="shared" si="4"/>
        <v>1.0763861003861002E-5</v>
      </c>
      <c r="M25" s="83">
        <f t="shared" si="5"/>
        <v>5.2473822393822384E-6</v>
      </c>
      <c r="N25" s="83">
        <f t="shared" si="6"/>
        <v>7.1759073359073361E-8</v>
      </c>
      <c r="O25" s="83">
        <f t="shared" si="7"/>
        <v>5.3127359999999993E-6</v>
      </c>
      <c r="P25" s="83">
        <f t="shared" si="8"/>
        <v>4.1469999999999997E-7</v>
      </c>
      <c r="Q25" s="83">
        <f t="shared" si="9"/>
        <v>4.9067544855780146E-2</v>
      </c>
      <c r="R25" s="83">
        <f t="shared" si="0"/>
        <v>1.0926118626430801</v>
      </c>
      <c r="S25" s="83">
        <f t="shared" si="10"/>
        <v>0</v>
      </c>
      <c r="T25" s="83">
        <f t="shared" si="11"/>
        <v>8.4677419354838718E-2</v>
      </c>
      <c r="U25" s="83">
        <f t="shared" si="12"/>
        <v>5.8765932318873481E-3</v>
      </c>
      <c r="V25" s="83">
        <f t="shared" si="13"/>
        <v>2.3150215761980467E-3</v>
      </c>
      <c r="W25" s="83">
        <f t="shared" si="14"/>
        <v>0.28255135135135134</v>
      </c>
      <c r="X25" s="83">
        <f t="shared" si="15"/>
        <v>0.56510270270270269</v>
      </c>
      <c r="Y25" s="83">
        <f t="shared" si="16"/>
        <v>8.9698841698841695E-8</v>
      </c>
      <c r="Z25" s="83">
        <f t="shared" si="17"/>
        <v>1.0193050193050191E-6</v>
      </c>
      <c r="AA25" s="83">
        <f t="shared" si="18"/>
        <v>1.0193050193050192E-15</v>
      </c>
      <c r="AB25" s="131">
        <f t="shared" si="19"/>
        <v>17.413332869839383</v>
      </c>
      <c r="AG25" s="3"/>
      <c r="AI25" s="3"/>
      <c r="AL25" s="1"/>
      <c r="AN25" s="1"/>
    </row>
    <row r="26" spans="1:40">
      <c r="A26" t="s">
        <v>210</v>
      </c>
      <c r="B26">
        <v>4.5</v>
      </c>
      <c r="C26">
        <v>2</v>
      </c>
      <c r="D26">
        <v>0.92</v>
      </c>
      <c r="F26">
        <v>0.11</v>
      </c>
      <c r="H26" s="83">
        <f t="shared" si="1"/>
        <v>2.9200153204633203E-6</v>
      </c>
      <c r="I26" s="83">
        <f t="shared" si="2"/>
        <v>5.2812821039654826E-6</v>
      </c>
      <c r="J26" s="83">
        <f t="shared" si="3"/>
        <v>3.2567254270146715E-4</v>
      </c>
      <c r="L26" s="83">
        <f t="shared" si="4"/>
        <v>1.0763861003861002E-5</v>
      </c>
      <c r="M26" s="83">
        <f t="shared" si="5"/>
        <v>5.2473822393822384E-6</v>
      </c>
      <c r="N26" s="83">
        <f t="shared" si="6"/>
        <v>7.1759073359073361E-8</v>
      </c>
      <c r="O26" s="83">
        <f t="shared" si="7"/>
        <v>5.3127359999999993E-6</v>
      </c>
      <c r="P26" s="83">
        <f t="shared" si="8"/>
        <v>4.1469999999999997E-7</v>
      </c>
      <c r="Q26" s="83">
        <f t="shared" si="9"/>
        <v>4.9067544855780146E-2</v>
      </c>
      <c r="R26" s="83">
        <f t="shared" si="0"/>
        <v>1.0926118626430801</v>
      </c>
      <c r="S26" s="83">
        <f t="shared" si="10"/>
        <v>0</v>
      </c>
      <c r="T26" s="83">
        <f t="shared" si="11"/>
        <v>8.4677419354838718E-2</v>
      </c>
      <c r="U26" s="83">
        <f t="shared" si="12"/>
        <v>5.8765932318873481E-3</v>
      </c>
      <c r="V26" s="83">
        <f t="shared" si="13"/>
        <v>2.3150215761980467E-3</v>
      </c>
      <c r="W26" s="83">
        <f t="shared" si="14"/>
        <v>0.28255135135135134</v>
      </c>
      <c r="X26" s="83">
        <f t="shared" si="15"/>
        <v>0.56510270270270269</v>
      </c>
      <c r="Y26" s="83">
        <f t="shared" si="16"/>
        <v>8.9698841698841695E-8</v>
      </c>
      <c r="Z26" s="83">
        <f t="shared" si="17"/>
        <v>1.0193050193050191E-6</v>
      </c>
      <c r="AA26" s="83">
        <f t="shared" si="18"/>
        <v>1.0193050193050192E-15</v>
      </c>
      <c r="AB26" s="131">
        <f t="shared" si="19"/>
        <v>17.413332869839383</v>
      </c>
      <c r="AG26" s="3"/>
      <c r="AI26" s="3"/>
      <c r="AL26" s="1"/>
      <c r="AN26" s="1"/>
    </row>
    <row r="27" spans="1:40">
      <c r="A27" s="44" t="s">
        <v>714</v>
      </c>
      <c r="AB27" s="200"/>
      <c r="AG27" s="3"/>
      <c r="AI27" s="3"/>
      <c r="AL27" s="1"/>
      <c r="AN27" s="1"/>
    </row>
    <row r="28" spans="1:40">
      <c r="A28" s="5" t="s">
        <v>696</v>
      </c>
      <c r="B28">
        <v>4.5</v>
      </c>
      <c r="C28">
        <v>2</v>
      </c>
      <c r="D28">
        <v>0.28999999999999998</v>
      </c>
      <c r="F28">
        <v>0.11</v>
      </c>
      <c r="H28" s="83">
        <f>B28*charco2yoll</f>
        <v>2.9200153204633203E-6</v>
      </c>
      <c r="I28" s="83">
        <f>D28*NOx_YOLL_Oxidant_charfact/0.62</f>
        <v>1.6647519675543365E-6</v>
      </c>
      <c r="J28" s="83">
        <f>F28*PM2.5_YOLL_charfact</f>
        <v>3.2567254270146715E-4</v>
      </c>
      <c r="L28" s="83">
        <f>CO2_malnutrition_charfact*B28</f>
        <v>1.0763861003861002E-5</v>
      </c>
      <c r="M28" s="83">
        <f>CO2_workingcapacity_charfact*B28</f>
        <v>5.2473822393822384E-6</v>
      </c>
      <c r="N28" s="83">
        <f>CO2_diarrhea_charfact*B28</f>
        <v>7.1759073359073361E-8</v>
      </c>
      <c r="O28" s="83">
        <f>PM2.5_asthmacases_charfact*F28</f>
        <v>5.3127359999999993E-6</v>
      </c>
      <c r="P28" s="83">
        <f>PM2.5_COPD_charfact*F28</f>
        <v>4.1469999999999997E-7</v>
      </c>
      <c r="Q28" s="83">
        <f>CO2_crop_charfact*B28</f>
        <v>4.9067544855780146E-2</v>
      </c>
      <c r="R28" s="83">
        <f>charnoxcrop/0.62*D28</f>
        <v>0.34441026105053607</v>
      </c>
      <c r="S28" s="83">
        <f>charco2woodgw*B28</f>
        <v>0</v>
      </c>
      <c r="T28" s="83">
        <f>NOx_wood_oxidantcharfact/0.62*D28</f>
        <v>2.669179523141655E-2</v>
      </c>
      <c r="U28" s="83">
        <f>CO2_fruitandveg_charfact*B28</f>
        <v>5.8765932318873481E-3</v>
      </c>
      <c r="V28" s="83">
        <f>CO2_meatandfish_charfact*B28</f>
        <v>2.3150215761980467E-3</v>
      </c>
      <c r="W28" s="83">
        <f>CO2_drinkingwater_charfact*B28</f>
        <v>0.28255135135135134</v>
      </c>
      <c r="X28" s="83">
        <f>CO2_irrigationwater_charfact*B28</f>
        <v>0.56510270270270269</v>
      </c>
      <c r="Y28" s="83">
        <f>CO2_housing_charfact*B28</f>
        <v>8.9698841698841695E-8</v>
      </c>
      <c r="Z28" s="83">
        <f>CO2_separations_charfact*B28</f>
        <v>1.0193050193050191E-6</v>
      </c>
      <c r="AA28" s="83">
        <f>CO2_NEX_charfact*B28</f>
        <v>1.0193050193050192E-15</v>
      </c>
      <c r="AB28" s="131">
        <f>(H28+I28+J28+K28)*YOLLvalue+L28*malnutrition+M28*working_capacity+N28*diarrhea+O28*asthmacasesvalue+P28*COPDvalue+(Q28+R28)*cropvalue+(S28+T28)*woodvalue+U28*Fruitandveg_value+V28*fishandmeatvalue+W28*drinkingwatervalue+X28*irrigationwatervalue+Y28*housingvalue+Z28*migrationvalue+AA28*speciesvalue</f>
        <v>17.065582585703531</v>
      </c>
      <c r="AG28" s="3"/>
      <c r="AI28" s="3"/>
      <c r="AL28" s="1"/>
      <c r="AN28" s="1"/>
    </row>
    <row r="29" spans="1:40">
      <c r="A29" t="s">
        <v>211</v>
      </c>
      <c r="B29">
        <v>4.5</v>
      </c>
      <c r="C29">
        <v>2</v>
      </c>
      <c r="D29">
        <v>0.75</v>
      </c>
      <c r="F29">
        <v>0.11</v>
      </c>
      <c r="H29" s="83">
        <f>B29*charco2yoll</f>
        <v>2.9200153204633203E-6</v>
      </c>
      <c r="I29" s="83">
        <f>D29*NOx_YOLL_Oxidant_charfact/0.62</f>
        <v>4.3053930195370778E-6</v>
      </c>
      <c r="J29" s="83">
        <f>F29*PM2.5_YOLL_charfact</f>
        <v>3.2567254270146715E-4</v>
      </c>
      <c r="L29" s="83">
        <f>CO2_malnutrition_charfact*B29</f>
        <v>1.0763861003861002E-5</v>
      </c>
      <c r="M29" s="83">
        <f>CO2_workingcapacity_charfact*B29</f>
        <v>5.2473822393822384E-6</v>
      </c>
      <c r="N29" s="83">
        <f>CO2_diarrhea_charfact*B29</f>
        <v>7.1759073359073361E-8</v>
      </c>
      <c r="O29" s="83">
        <f>PM2.5_asthmacases_charfact*F29</f>
        <v>5.3127359999999993E-6</v>
      </c>
      <c r="P29" s="83">
        <f>PM2.5_COPD_charfact*F29</f>
        <v>4.1469999999999997E-7</v>
      </c>
      <c r="Q29" s="83">
        <f>CO2_crop_charfact*B29</f>
        <v>4.9067544855780146E-2</v>
      </c>
      <c r="R29" s="83">
        <f>charnoxcrop/0.62*D29</f>
        <v>0.89071619237207611</v>
      </c>
      <c r="S29" s="83">
        <f>charco2woodgw*B29</f>
        <v>0</v>
      </c>
      <c r="T29" s="83">
        <f>NOx_wood_oxidantcharfact/0.62*D29</f>
        <v>6.9030504908835902E-2</v>
      </c>
      <c r="U29" s="83">
        <f>CO2_fruitandveg_charfact*B29</f>
        <v>5.8765932318873481E-3</v>
      </c>
      <c r="V29" s="83">
        <f>CO2_meatandfish_charfact*B29</f>
        <v>2.3150215761980467E-3</v>
      </c>
      <c r="W29" s="83">
        <f>CO2_drinkingwater_charfact*B29</f>
        <v>0.28255135135135134</v>
      </c>
      <c r="X29" s="83">
        <f>CO2_irrigationwater_charfact*B29</f>
        <v>0.56510270270270269</v>
      </c>
      <c r="Y29" s="83">
        <f>CO2_housing_charfact*B29</f>
        <v>8.9698841698841695E-8</v>
      </c>
      <c r="Z29" s="83">
        <f>CO2_separations_charfact*B29</f>
        <v>1.0193050193050191E-6</v>
      </c>
      <c r="AA29" s="83">
        <f>CO2_NEX_charfact*B29</f>
        <v>1.0193050193050192E-15</v>
      </c>
      <c r="AB29" s="131">
        <f>(H29+I29+J29+K29)*YOLLvalue+L29*malnutrition+M29*working_capacity+N29*diarrhea+O29*asthmacasesvalue+P29*COPDvalue+(Q29+R29)*cropvalue+(S29+T29)*woodvalue+U29*Fruitandveg_value+V29*fishandmeatvalue+W29*drinkingwatervalue+X29*irrigationwatervalue+Y29*housingvalue+Z29*migrationvalue+AA29*speciesvalue</f>
        <v>17.319495491580504</v>
      </c>
      <c r="AG29" s="3"/>
      <c r="AI29" s="3"/>
      <c r="AL29" s="1"/>
      <c r="AN29" s="1"/>
    </row>
    <row r="30" spans="1:40">
      <c r="A30" t="s">
        <v>610</v>
      </c>
      <c r="B30">
        <v>4.5</v>
      </c>
      <c r="C30">
        <v>2</v>
      </c>
      <c r="D30">
        <v>0.29899999999999999</v>
      </c>
      <c r="F30">
        <v>0.11</v>
      </c>
      <c r="H30" s="83">
        <f>B30*charco2yoll</f>
        <v>2.9200153204633203E-6</v>
      </c>
      <c r="I30" s="83">
        <f>D30*NOx_YOLL_Oxidant_charfact/0.62</f>
        <v>1.7164166837887815E-6</v>
      </c>
      <c r="J30" s="83">
        <f>F30*PM2.5_YOLL_charfact</f>
        <v>3.2567254270146715E-4</v>
      </c>
      <c r="L30" s="83">
        <f>CO2_malnutrition_charfact*B30</f>
        <v>1.0763861003861002E-5</v>
      </c>
      <c r="M30" s="83">
        <f>CO2_workingcapacity_charfact*B30</f>
        <v>5.2473822393822384E-6</v>
      </c>
      <c r="N30" s="83">
        <f>CO2_diarrhea_charfact*B30</f>
        <v>7.1759073359073361E-8</v>
      </c>
      <c r="O30" s="83">
        <f>PM2.5_asthmacases_charfact*F30</f>
        <v>5.3127359999999993E-6</v>
      </c>
      <c r="P30" s="83">
        <f>PM2.5_COPD_charfact*F30</f>
        <v>4.1469999999999997E-7</v>
      </c>
      <c r="Q30" s="83">
        <f>CO2_crop_charfact*B30</f>
        <v>4.9067544855780146E-2</v>
      </c>
      <c r="R30" s="83">
        <f>charnoxcrop/0.62*D30</f>
        <v>0.35509885535900104</v>
      </c>
      <c r="S30" s="83">
        <f>charco2woodgw*B30</f>
        <v>0</v>
      </c>
      <c r="T30" s="83">
        <f>NOx_wood_oxidantcharfact/0.62*D30</f>
        <v>2.752016129032258E-2</v>
      </c>
      <c r="U30" s="83">
        <f>CO2_fruitandveg_charfact*B30</f>
        <v>5.8765932318873481E-3</v>
      </c>
      <c r="V30" s="83">
        <f>CO2_meatandfish_charfact*B30</f>
        <v>2.3150215761980467E-3</v>
      </c>
      <c r="W30" s="83">
        <f>CO2_drinkingwater_charfact*B30</f>
        <v>0.28255135135135134</v>
      </c>
      <c r="X30" s="83">
        <f>CO2_irrigationwater_charfact*B30</f>
        <v>0.56510270270270269</v>
      </c>
      <c r="Y30" s="83">
        <f>CO2_housing_charfact*B30</f>
        <v>8.9698841698841695E-8</v>
      </c>
      <c r="Z30" s="83">
        <f>CO2_separations_charfact*B30</f>
        <v>1.0193050193050191E-6</v>
      </c>
      <c r="AA30" s="83">
        <f>CO2_NEX_charfact*B30</f>
        <v>1.0193050193050192E-15</v>
      </c>
      <c r="AB30" s="131">
        <f>(H30+I30+J30+K30)*YOLLvalue+L30*malnutrition+M30*working_capacity+N30*diarrhea+O30*asthmacasesvalue+P30*COPDvalue+(Q30+R30)*cropvalue+(S30+T30)*woodvalue+U30*Fruitandveg_value+V30*fishandmeatvalue+W30*drinkingwatervalue+X30*irrigationwatervalue+Y30*housingvalue+Z30*migrationvalue+AA30*speciesvalue</f>
        <v>17.070550446905475</v>
      </c>
      <c r="AG30" s="3"/>
      <c r="AI30" s="3"/>
      <c r="AL30" s="1"/>
      <c r="AN30" s="1"/>
    </row>
    <row r="31" spans="1:40">
      <c r="A31" s="5" t="s">
        <v>609</v>
      </c>
      <c r="B31">
        <v>4.5</v>
      </c>
      <c r="C31">
        <v>2</v>
      </c>
      <c r="D31">
        <v>0.44600000000000001</v>
      </c>
      <c r="F31">
        <v>0.11</v>
      </c>
      <c r="H31" s="83">
        <f>B31*charco2yoll</f>
        <v>2.9200153204633203E-6</v>
      </c>
      <c r="I31" s="83">
        <f>D31*NOx_YOLL_Oxidant_charfact/0.62</f>
        <v>2.5602737156180489E-6</v>
      </c>
      <c r="J31" s="83">
        <f>F31*PM2.5_YOLL_charfact</f>
        <v>3.2567254270146715E-4</v>
      </c>
      <c r="L31" s="83">
        <f>CO2_malnutrition_charfact*B31</f>
        <v>1.0763861003861002E-5</v>
      </c>
      <c r="M31" s="83">
        <f>CO2_workingcapacity_charfact*B31</f>
        <v>5.2473822393822384E-6</v>
      </c>
      <c r="N31" s="83">
        <f>CO2_diarrhea_charfact*B31</f>
        <v>7.1759073359073361E-8</v>
      </c>
      <c r="O31" s="83">
        <f>PM2.5_asthmacases_charfact*F31</f>
        <v>5.3127359999999993E-6</v>
      </c>
      <c r="P31" s="83">
        <f>PM2.5_COPD_charfact*F31</f>
        <v>4.1469999999999997E-7</v>
      </c>
      <c r="Q31" s="83">
        <f>CO2_crop_charfact*B31</f>
        <v>4.9067544855780146E-2</v>
      </c>
      <c r="R31" s="83">
        <f>charnoxcrop/0.62*D31</f>
        <v>0.52967922906392795</v>
      </c>
      <c r="S31" s="83">
        <f>charco2woodgw*B31</f>
        <v>0</v>
      </c>
      <c r="T31" s="83">
        <f>NOx_wood_oxidantcharfact/0.62*D31</f>
        <v>4.1050140252454417E-2</v>
      </c>
      <c r="U31" s="83">
        <f>CO2_fruitandveg_charfact*B31</f>
        <v>5.8765932318873481E-3</v>
      </c>
      <c r="V31" s="83">
        <f>CO2_meatandfish_charfact*B31</f>
        <v>2.3150215761980467E-3</v>
      </c>
      <c r="W31" s="83">
        <f>CO2_drinkingwater_charfact*B31</f>
        <v>0.28255135135135134</v>
      </c>
      <c r="X31" s="83">
        <f>CO2_irrigationwater_charfact*B31</f>
        <v>0.56510270270270269</v>
      </c>
      <c r="Y31" s="83">
        <f>CO2_housing_charfact*B31</f>
        <v>8.9698841698841695E-8</v>
      </c>
      <c r="Z31" s="83">
        <f>CO2_separations_charfact*B31</f>
        <v>1.0193050193050191E-6</v>
      </c>
      <c r="AA31" s="83">
        <f>CO2_NEX_charfact*B31</f>
        <v>1.0193050193050192E-15</v>
      </c>
      <c r="AB31" s="131">
        <f>(H31+I31+J31+K31)*YOLLvalue+L31*malnutrition+M31*working_capacity+N31*diarrhea+O31*asthmacasesvalue+P31*COPDvalue+(Q31+R31)*cropvalue+(S31+T31)*woodvalue+U31*Fruitandveg_value+V31*fishandmeatvalue+W31*drinkingwatervalue+X31*irrigationwatervalue+Y31*housingvalue+Z31*migrationvalue+AA31*speciesvalue</f>
        <v>17.151692179870501</v>
      </c>
      <c r="AG31" s="3"/>
      <c r="AI31" s="3"/>
      <c r="AL31" s="1"/>
      <c r="AN31" s="1"/>
    </row>
    <row r="32" spans="1:40">
      <c r="A32" s="44" t="s">
        <v>715</v>
      </c>
      <c r="AB32" s="200"/>
      <c r="AG32" s="3"/>
      <c r="AI32" s="3"/>
      <c r="AL32" s="1"/>
      <c r="AN32" s="1"/>
    </row>
    <row r="33" spans="1:40">
      <c r="A33" s="5" t="s">
        <v>689</v>
      </c>
      <c r="B33">
        <v>4.5</v>
      </c>
      <c r="C33">
        <v>2</v>
      </c>
      <c r="D33">
        <v>1</v>
      </c>
      <c r="F33">
        <v>0.11</v>
      </c>
      <c r="H33" s="83">
        <f t="shared" ref="H33:H45" si="20">B33*charco2yoll</f>
        <v>2.9200153204633203E-6</v>
      </c>
      <c r="I33" s="83">
        <f t="shared" ref="I33:I45" si="21">D33*NOx_YOLL_Oxidant_charfact/0.62</f>
        <v>5.7405240260494371E-6</v>
      </c>
      <c r="J33" s="83">
        <f t="shared" ref="J33:J45" si="22">F33*PM2.5_YOLL_charfact</f>
        <v>3.2567254270146715E-4</v>
      </c>
      <c r="K33" s="83">
        <f>0.89*K52</f>
        <v>3.5282142857142859E-6</v>
      </c>
      <c r="L33" s="83">
        <f t="shared" ref="L33:L45" si="23">CO2_malnutrition_charfact*B33</f>
        <v>1.0763861003861002E-5</v>
      </c>
      <c r="M33" s="83">
        <f t="shared" ref="M33:M45" si="24">CO2_workingcapacity_charfact*B33</f>
        <v>5.2473822393822384E-6</v>
      </c>
      <c r="N33" s="83">
        <f t="shared" ref="N33:N45" si="25">CO2_diarrhea_charfact*B33</f>
        <v>7.1759073359073361E-8</v>
      </c>
      <c r="O33" s="83">
        <f t="shared" ref="O33:O45" si="26">PM2.5_asthmacases_charfact*F33</f>
        <v>5.3127359999999993E-6</v>
      </c>
      <c r="P33" s="83">
        <f t="shared" ref="P33:P45" si="27">PM2.5_COPD_charfact*F33</f>
        <v>4.1469999999999997E-7</v>
      </c>
      <c r="Q33" s="83">
        <f t="shared" ref="Q33:Q45" si="28">CO2_crop_charfact*B33</f>
        <v>4.9067544855780146E-2</v>
      </c>
      <c r="R33" s="83">
        <f t="shared" ref="R33:R45" si="29">charnoxcrop/0.62*D33</f>
        <v>1.1876215898294349</v>
      </c>
      <c r="S33" s="83">
        <f t="shared" ref="S33:S45" si="30">charco2woodgw*B33</f>
        <v>0</v>
      </c>
      <c r="T33" s="83">
        <f t="shared" ref="T33:T45" si="31">NOx_wood_oxidantcharfact/0.62*D33</f>
        <v>9.2040673211781207E-2</v>
      </c>
      <c r="U33" s="83">
        <f t="shared" ref="U33:U45" si="32">CO2_fruitandveg_charfact*B33</f>
        <v>5.8765932318873481E-3</v>
      </c>
      <c r="V33" s="83">
        <f t="shared" ref="V33:V45" si="33">CO2_meatandfish_charfact*B33</f>
        <v>2.3150215761980467E-3</v>
      </c>
      <c r="W33" s="83">
        <f t="shared" ref="W33:W45" si="34">CO2_drinkingwater_charfact*B33</f>
        <v>0.28255135135135134</v>
      </c>
      <c r="X33" s="83">
        <f t="shared" ref="X33:X45" si="35">CO2_irrigationwater_charfact*B33</f>
        <v>0.56510270270270269</v>
      </c>
      <c r="Y33" s="83">
        <f t="shared" ref="Y33:Y45" si="36">CO2_housing_charfact*B33</f>
        <v>8.9698841698841695E-8</v>
      </c>
      <c r="Z33" s="83">
        <f t="shared" ref="Z33:Z45" si="37">CO2_separations_charfact*B33</f>
        <v>1.0193050193050191E-6</v>
      </c>
      <c r="AA33" s="83">
        <f t="shared" ref="AA33:AA45" si="38">CO2_NEX_charfact*B33</f>
        <v>1.0193050193050192E-15</v>
      </c>
      <c r="AB33" s="131">
        <f>(H33+I33+J33+K33)*YOLLvalue+L33*malnutrition+M33*working_capacity+N33*diarrhea+O33*asthmacasesvalue+P33*COPDvalue+(Q33+R33)*cropvalue+(S33+T33)*woodvalue+U33*Fruitandveg_value+V33*fishandmeatvalue+W33*drinkingwatervalue+X33*irrigationwatervalue+Y33*housingvalue+Z33*migrationvalue+AA33*speciesvalue</f>
        <v>17.633902350364572</v>
      </c>
      <c r="AG33" s="3"/>
      <c r="AI33" s="3"/>
      <c r="AL33" s="1"/>
      <c r="AN33" s="1"/>
    </row>
    <row r="34" spans="1:40">
      <c r="A34" s="5" t="s">
        <v>646</v>
      </c>
      <c r="B34">
        <v>4.5</v>
      </c>
      <c r="C34">
        <v>2</v>
      </c>
      <c r="D34">
        <v>1.25</v>
      </c>
      <c r="F34">
        <v>0.11</v>
      </c>
      <c r="H34" s="83">
        <f t="shared" si="20"/>
        <v>2.9200153204633203E-6</v>
      </c>
      <c r="I34" s="83">
        <f t="shared" si="21"/>
        <v>7.1756550325617956E-6</v>
      </c>
      <c r="J34" s="83">
        <f t="shared" si="22"/>
        <v>3.2567254270146715E-4</v>
      </c>
      <c r="K34" s="83">
        <f>0.074*K52</f>
        <v>2.9335714285714285E-7</v>
      </c>
      <c r="L34" s="83">
        <f t="shared" si="23"/>
        <v>1.0763861003861002E-5</v>
      </c>
      <c r="M34" s="83">
        <f t="shared" si="24"/>
        <v>5.2473822393822384E-6</v>
      </c>
      <c r="N34" s="83">
        <f t="shared" si="25"/>
        <v>7.1759073359073361E-8</v>
      </c>
      <c r="O34" s="83">
        <f t="shared" si="26"/>
        <v>5.3127359999999993E-6</v>
      </c>
      <c r="P34" s="83">
        <f t="shared" si="27"/>
        <v>4.1469999999999997E-7</v>
      </c>
      <c r="Q34" s="83">
        <f t="shared" si="28"/>
        <v>4.9067544855780146E-2</v>
      </c>
      <c r="R34" s="83">
        <f t="shared" si="29"/>
        <v>1.4845269872867937</v>
      </c>
      <c r="S34" s="83">
        <f t="shared" si="30"/>
        <v>0</v>
      </c>
      <c r="T34" s="83">
        <f t="shared" si="31"/>
        <v>0.11505084151472651</v>
      </c>
      <c r="U34" s="83">
        <f t="shared" si="32"/>
        <v>5.8765932318873481E-3</v>
      </c>
      <c r="V34" s="83">
        <f t="shared" si="33"/>
        <v>2.3150215761980467E-3</v>
      </c>
      <c r="W34" s="83">
        <f t="shared" si="34"/>
        <v>0.28255135135135134</v>
      </c>
      <c r="X34" s="83">
        <f t="shared" si="35"/>
        <v>0.56510270270270269</v>
      </c>
      <c r="Y34" s="83">
        <f t="shared" si="36"/>
        <v>8.9698841698841695E-8</v>
      </c>
      <c r="Z34" s="83">
        <f t="shared" si="37"/>
        <v>1.0193050193050191E-6</v>
      </c>
      <c r="AA34" s="83">
        <f t="shared" si="38"/>
        <v>1.0193050193050192E-15</v>
      </c>
      <c r="AB34" s="131">
        <f t="shared" ref="AB34:AB45" si="39">(H34+I34+J34+K34)*YOLLvalue+L34*malnutrition+M34*working_capacity+N34*diarrhea+O34*asthmacasesvalue+P34*COPDvalue+(Q34+R34)*cropvalue+(S34+T34)*woodvalue+U34*Fruitandveg_value+V34*fishandmeatvalue+W34*drinkingwatervalue+X34*irrigationwatervalue+Y34*housingvalue+Z34*migrationvalue+AA34*speciesvalue</f>
        <v>17.610155637720066</v>
      </c>
      <c r="AG34" s="3"/>
      <c r="AI34" s="3"/>
      <c r="AL34" s="1"/>
      <c r="AN34" s="1"/>
    </row>
    <row r="35" spans="1:40">
      <c r="A35" t="s">
        <v>212</v>
      </c>
      <c r="B35">
        <v>4.5</v>
      </c>
      <c r="C35">
        <v>2</v>
      </c>
      <c r="D35">
        <v>1.26</v>
      </c>
      <c r="F35">
        <v>0.11</v>
      </c>
      <c r="H35" s="83">
        <f t="shared" si="20"/>
        <v>2.9200153204633203E-6</v>
      </c>
      <c r="I35" s="83">
        <f t="shared" si="21"/>
        <v>7.2330602728222904E-6</v>
      </c>
      <c r="J35" s="83">
        <f t="shared" si="22"/>
        <v>3.2567254270146715E-4</v>
      </c>
      <c r="L35" s="83">
        <f t="shared" si="23"/>
        <v>1.0763861003861002E-5</v>
      </c>
      <c r="M35" s="83">
        <f t="shared" si="24"/>
        <v>5.2473822393822384E-6</v>
      </c>
      <c r="N35" s="83">
        <f t="shared" si="25"/>
        <v>7.1759073359073361E-8</v>
      </c>
      <c r="O35" s="83">
        <f t="shared" si="26"/>
        <v>5.3127359999999993E-6</v>
      </c>
      <c r="P35" s="83">
        <f t="shared" si="27"/>
        <v>4.1469999999999997E-7</v>
      </c>
      <c r="Q35" s="83">
        <f t="shared" si="28"/>
        <v>4.9067544855780146E-2</v>
      </c>
      <c r="R35" s="83">
        <f t="shared" si="29"/>
        <v>1.496403203185088</v>
      </c>
      <c r="S35" s="83">
        <f t="shared" si="30"/>
        <v>0</v>
      </c>
      <c r="T35" s="83">
        <f t="shared" si="31"/>
        <v>0.11597124824684432</v>
      </c>
      <c r="U35" s="83">
        <f t="shared" si="32"/>
        <v>5.8765932318873481E-3</v>
      </c>
      <c r="V35" s="83">
        <f t="shared" si="33"/>
        <v>2.3150215761980467E-3</v>
      </c>
      <c r="W35" s="83">
        <f t="shared" si="34"/>
        <v>0.28255135135135134</v>
      </c>
      <c r="X35" s="83">
        <f t="shared" si="35"/>
        <v>0.56510270270270269</v>
      </c>
      <c r="Y35" s="83">
        <f t="shared" si="36"/>
        <v>8.9698841698841695E-8</v>
      </c>
      <c r="Z35" s="83">
        <f t="shared" si="37"/>
        <v>1.0193050193050191E-6</v>
      </c>
      <c r="AA35" s="83">
        <f t="shared" si="38"/>
        <v>1.0193050193050192E-15</v>
      </c>
      <c r="AB35" s="131">
        <f t="shared" si="39"/>
        <v>17.601007626357145</v>
      </c>
      <c r="AG35" s="3"/>
      <c r="AI35" s="3"/>
      <c r="AL35" s="1"/>
      <c r="AN35" s="1"/>
    </row>
    <row r="36" spans="1:40">
      <c r="A36" t="s">
        <v>213</v>
      </c>
      <c r="B36">
        <v>4.5</v>
      </c>
      <c r="C36">
        <v>2</v>
      </c>
      <c r="D36">
        <v>1.1299999999999999</v>
      </c>
      <c r="F36">
        <v>0.11</v>
      </c>
      <c r="H36" s="83">
        <f t="shared" si="20"/>
        <v>2.9200153204633203E-6</v>
      </c>
      <c r="I36" s="83">
        <f t="shared" si="21"/>
        <v>6.4867921494358633E-6</v>
      </c>
      <c r="J36" s="83">
        <f t="shared" si="22"/>
        <v>3.2567254270146715E-4</v>
      </c>
      <c r="L36" s="83">
        <f t="shared" si="23"/>
        <v>1.0763861003861002E-5</v>
      </c>
      <c r="M36" s="83">
        <f t="shared" si="24"/>
        <v>5.2473822393822384E-6</v>
      </c>
      <c r="N36" s="83">
        <f t="shared" si="25"/>
        <v>7.1759073359073361E-8</v>
      </c>
      <c r="O36" s="83">
        <f t="shared" si="26"/>
        <v>5.3127359999999993E-6</v>
      </c>
      <c r="P36" s="83">
        <f t="shared" si="27"/>
        <v>4.1469999999999997E-7</v>
      </c>
      <c r="Q36" s="83">
        <f t="shared" si="28"/>
        <v>4.9067544855780146E-2</v>
      </c>
      <c r="R36" s="83">
        <f t="shared" si="29"/>
        <v>1.3420123965072612</v>
      </c>
      <c r="S36" s="83">
        <f t="shared" si="30"/>
        <v>0</v>
      </c>
      <c r="T36" s="83">
        <f t="shared" si="31"/>
        <v>0.10400596072931276</v>
      </c>
      <c r="U36" s="83">
        <f t="shared" si="32"/>
        <v>5.8765932318873481E-3</v>
      </c>
      <c r="V36" s="83">
        <f t="shared" si="33"/>
        <v>2.3150215761980467E-3</v>
      </c>
      <c r="W36" s="83">
        <f t="shared" si="34"/>
        <v>0.28255135135135134</v>
      </c>
      <c r="X36" s="83">
        <f t="shared" si="35"/>
        <v>0.56510270270270269</v>
      </c>
      <c r="Y36" s="83">
        <f t="shared" si="36"/>
        <v>8.9698841698841695E-8</v>
      </c>
      <c r="Z36" s="83">
        <f t="shared" si="37"/>
        <v>1.0193050193050191E-6</v>
      </c>
      <c r="AA36" s="83">
        <f t="shared" si="38"/>
        <v>1.0193050193050192E-15</v>
      </c>
      <c r="AB36" s="131">
        <f>(H36+I36+J36+K33)*YOLLvalue+L36*malnutrition+M36*working_capacity+N36*diarrhea+O36*asthmacasesvalue+P36*COPDvalue+(Q36+R36)*cropvalue+(S36+T36)*woodvalue+U36*Fruitandveg_value+V36*fishandmeatvalue+W36*drinkingwatervalue+X36*irrigationwatervalue+Y36*housingvalue+Z36*migrationvalue+AA36*speciesvalue</f>
        <v>17.705660345503716</v>
      </c>
      <c r="AG36" s="3"/>
      <c r="AI36" s="3"/>
      <c r="AL36" s="1"/>
      <c r="AN36" s="1"/>
    </row>
    <row r="37" spans="1:40">
      <c r="A37" s="5" t="s">
        <v>697</v>
      </c>
      <c r="B37">
        <v>4.5</v>
      </c>
      <c r="C37">
        <v>2</v>
      </c>
      <c r="D37">
        <v>0.627</v>
      </c>
      <c r="F37">
        <v>0.11</v>
      </c>
      <c r="H37" s="83">
        <f t="shared" si="20"/>
        <v>2.9200153204633203E-6</v>
      </c>
      <c r="I37" s="83">
        <f t="shared" si="21"/>
        <v>3.5993085643329967E-6</v>
      </c>
      <c r="J37" s="83">
        <f t="shared" si="22"/>
        <v>3.2567254270146715E-4</v>
      </c>
      <c r="L37" s="83">
        <f t="shared" si="23"/>
        <v>1.0763861003861002E-5</v>
      </c>
      <c r="M37" s="83">
        <f t="shared" si="24"/>
        <v>5.2473822393822384E-6</v>
      </c>
      <c r="N37" s="83">
        <f t="shared" si="25"/>
        <v>7.1759073359073361E-8</v>
      </c>
      <c r="O37" s="83">
        <f t="shared" si="26"/>
        <v>5.3127359999999993E-6</v>
      </c>
      <c r="P37" s="83">
        <f t="shared" si="27"/>
        <v>4.1469999999999997E-7</v>
      </c>
      <c r="Q37" s="83">
        <f t="shared" si="28"/>
        <v>4.9067544855780146E-2</v>
      </c>
      <c r="R37" s="83">
        <f t="shared" si="29"/>
        <v>0.7446387368230557</v>
      </c>
      <c r="S37" s="83">
        <f t="shared" si="30"/>
        <v>0</v>
      </c>
      <c r="T37" s="83">
        <f t="shared" si="31"/>
        <v>5.7709502103786815E-2</v>
      </c>
      <c r="U37" s="83">
        <f t="shared" si="32"/>
        <v>5.8765932318873481E-3</v>
      </c>
      <c r="V37" s="83">
        <f t="shared" si="33"/>
        <v>2.3150215761980467E-3</v>
      </c>
      <c r="W37" s="83">
        <f t="shared" si="34"/>
        <v>0.28255135135135134</v>
      </c>
      <c r="X37" s="83">
        <f t="shared" si="35"/>
        <v>0.56510270270270269</v>
      </c>
      <c r="Y37" s="83">
        <f t="shared" si="36"/>
        <v>8.9698841698841695E-8</v>
      </c>
      <c r="Z37" s="83">
        <f t="shared" si="37"/>
        <v>1.0193050193050191E-6</v>
      </c>
      <c r="AA37" s="83">
        <f t="shared" si="38"/>
        <v>1.0193050193050192E-15</v>
      </c>
      <c r="AB37" s="131">
        <f t="shared" si="39"/>
        <v>17.251601388487313</v>
      </c>
      <c r="AG37" s="3"/>
      <c r="AI37" s="3"/>
      <c r="AL37" s="1"/>
      <c r="AN37" s="1"/>
    </row>
    <row r="38" spans="1:40">
      <c r="A38" t="s">
        <v>214</v>
      </c>
      <c r="B38">
        <v>4.5</v>
      </c>
      <c r="C38">
        <v>2</v>
      </c>
      <c r="D38" s="5">
        <v>1.21</v>
      </c>
      <c r="E38" s="5"/>
      <c r="F38">
        <v>0.11</v>
      </c>
      <c r="G38" s="5"/>
      <c r="H38" s="83">
        <f t="shared" si="20"/>
        <v>2.9200153204633203E-6</v>
      </c>
      <c r="I38" s="83">
        <f t="shared" si="21"/>
        <v>6.9460340715198187E-6</v>
      </c>
      <c r="J38" s="83">
        <f t="shared" si="22"/>
        <v>3.2567254270146715E-4</v>
      </c>
      <c r="L38" s="83">
        <f t="shared" si="23"/>
        <v>1.0763861003861002E-5</v>
      </c>
      <c r="M38" s="83">
        <f t="shared" si="24"/>
        <v>5.2473822393822384E-6</v>
      </c>
      <c r="N38" s="83">
        <f t="shared" si="25"/>
        <v>7.1759073359073361E-8</v>
      </c>
      <c r="O38" s="83">
        <f t="shared" si="26"/>
        <v>5.3127359999999993E-6</v>
      </c>
      <c r="P38" s="83">
        <f t="shared" si="27"/>
        <v>4.1469999999999997E-7</v>
      </c>
      <c r="Q38" s="83">
        <f t="shared" si="28"/>
        <v>4.9067544855780146E-2</v>
      </c>
      <c r="R38" s="83">
        <f t="shared" si="29"/>
        <v>1.4370221236936163</v>
      </c>
      <c r="S38" s="83">
        <f t="shared" si="30"/>
        <v>0</v>
      </c>
      <c r="T38" s="83">
        <f t="shared" si="31"/>
        <v>0.11136921458625526</v>
      </c>
      <c r="U38" s="83">
        <f t="shared" si="32"/>
        <v>5.8765932318873481E-3</v>
      </c>
      <c r="V38" s="83">
        <f t="shared" si="33"/>
        <v>2.3150215761980467E-3</v>
      </c>
      <c r="W38" s="83">
        <f t="shared" si="34"/>
        <v>0.28255135135135134</v>
      </c>
      <c r="X38" s="83">
        <f t="shared" si="35"/>
        <v>0.56510270270270269</v>
      </c>
      <c r="Y38" s="83">
        <f t="shared" si="36"/>
        <v>8.9698841698841695E-8</v>
      </c>
      <c r="Z38" s="83">
        <f t="shared" si="37"/>
        <v>1.0193050193050191E-6</v>
      </c>
      <c r="AA38" s="83">
        <f t="shared" si="38"/>
        <v>1.0193050193050192E-15</v>
      </c>
      <c r="AB38" s="131">
        <f t="shared" si="39"/>
        <v>17.573408397457474</v>
      </c>
      <c r="AG38" s="3"/>
      <c r="AI38" s="3"/>
      <c r="AL38" s="1"/>
      <c r="AN38" s="1"/>
    </row>
    <row r="39" spans="1:40">
      <c r="A39" t="s">
        <v>215</v>
      </c>
      <c r="B39">
        <v>4.5</v>
      </c>
      <c r="C39">
        <v>2</v>
      </c>
      <c r="D39">
        <v>1.28</v>
      </c>
      <c r="F39">
        <v>0.11</v>
      </c>
      <c r="H39" s="83">
        <f t="shared" si="20"/>
        <v>2.9200153204633203E-6</v>
      </c>
      <c r="I39" s="83">
        <f t="shared" si="21"/>
        <v>7.3478707533432792E-6</v>
      </c>
      <c r="J39" s="83">
        <f t="shared" si="22"/>
        <v>3.2567254270146715E-4</v>
      </c>
      <c r="L39" s="83">
        <f t="shared" si="23"/>
        <v>1.0763861003861002E-5</v>
      </c>
      <c r="M39" s="83">
        <f t="shared" si="24"/>
        <v>5.2473822393822384E-6</v>
      </c>
      <c r="N39" s="83">
        <f t="shared" si="25"/>
        <v>7.1759073359073361E-8</v>
      </c>
      <c r="O39" s="83">
        <f t="shared" si="26"/>
        <v>5.3127359999999993E-6</v>
      </c>
      <c r="P39" s="83">
        <f t="shared" si="27"/>
        <v>4.1469999999999997E-7</v>
      </c>
      <c r="Q39" s="83">
        <f t="shared" si="28"/>
        <v>4.9067544855780146E-2</v>
      </c>
      <c r="R39" s="83">
        <f t="shared" si="29"/>
        <v>1.5201556349816767</v>
      </c>
      <c r="S39" s="83">
        <f t="shared" si="30"/>
        <v>0</v>
      </c>
      <c r="T39" s="83">
        <f t="shared" si="31"/>
        <v>0.11781206171107994</v>
      </c>
      <c r="U39" s="83">
        <f t="shared" si="32"/>
        <v>5.8765932318873481E-3</v>
      </c>
      <c r="V39" s="83">
        <f t="shared" si="33"/>
        <v>2.3150215761980467E-3</v>
      </c>
      <c r="W39" s="83">
        <f t="shared" si="34"/>
        <v>0.28255135135135134</v>
      </c>
      <c r="X39" s="83">
        <f t="shared" si="35"/>
        <v>0.56510270270270269</v>
      </c>
      <c r="Y39" s="83">
        <f t="shared" si="36"/>
        <v>8.9698841698841695E-8</v>
      </c>
      <c r="Z39" s="83">
        <f t="shared" si="37"/>
        <v>1.0193050193050191E-6</v>
      </c>
      <c r="AA39" s="83">
        <f t="shared" si="38"/>
        <v>1.0193050193050192E-15</v>
      </c>
      <c r="AB39" s="131">
        <f t="shared" si="39"/>
        <v>17.612047317917014</v>
      </c>
      <c r="AG39" s="3"/>
      <c r="AI39" s="3"/>
      <c r="AL39" s="1"/>
      <c r="AN39" s="1"/>
    </row>
    <row r="40" spans="1:40">
      <c r="A40" s="5" t="s">
        <v>616</v>
      </c>
      <c r="B40">
        <v>4.5</v>
      </c>
      <c r="C40">
        <v>2</v>
      </c>
      <c r="D40">
        <v>0.97</v>
      </c>
      <c r="F40">
        <v>0.11</v>
      </c>
      <c r="H40" s="83">
        <f t="shared" si="20"/>
        <v>2.9200153204633203E-6</v>
      </c>
      <c r="I40" s="83">
        <f t="shared" si="21"/>
        <v>5.5683083052679534E-6</v>
      </c>
      <c r="J40" s="83">
        <f t="shared" si="22"/>
        <v>3.2567254270146715E-4</v>
      </c>
      <c r="L40" s="83">
        <f t="shared" si="23"/>
        <v>1.0763861003861002E-5</v>
      </c>
      <c r="M40" s="83">
        <f t="shared" si="24"/>
        <v>5.2473822393822384E-6</v>
      </c>
      <c r="N40" s="83">
        <f t="shared" si="25"/>
        <v>7.1759073359073361E-8</v>
      </c>
      <c r="O40" s="83">
        <f t="shared" si="26"/>
        <v>5.3127359999999993E-6</v>
      </c>
      <c r="P40" s="83">
        <f t="shared" si="27"/>
        <v>4.1469999999999997E-7</v>
      </c>
      <c r="Q40" s="83">
        <f t="shared" si="28"/>
        <v>4.9067544855780146E-2</v>
      </c>
      <c r="R40" s="83">
        <f t="shared" si="29"/>
        <v>1.1519929421345518</v>
      </c>
      <c r="S40" s="83">
        <f t="shared" si="30"/>
        <v>0</v>
      </c>
      <c r="T40" s="83">
        <f t="shared" si="31"/>
        <v>8.9279453015427765E-2</v>
      </c>
      <c r="U40" s="83">
        <f t="shared" si="32"/>
        <v>5.8765932318873481E-3</v>
      </c>
      <c r="V40" s="83">
        <f t="shared" si="33"/>
        <v>2.3150215761980467E-3</v>
      </c>
      <c r="W40" s="83">
        <f t="shared" si="34"/>
        <v>0.28255135135135134</v>
      </c>
      <c r="X40" s="83">
        <f t="shared" si="35"/>
        <v>0.56510270270270269</v>
      </c>
      <c r="Y40" s="83">
        <f t="shared" si="36"/>
        <v>8.9698841698841695E-8</v>
      </c>
      <c r="Z40" s="83">
        <f t="shared" si="37"/>
        <v>1.0193050193050191E-6</v>
      </c>
      <c r="AA40" s="83">
        <f t="shared" si="38"/>
        <v>1.0193050193050192E-15</v>
      </c>
      <c r="AB40" s="131">
        <f t="shared" si="39"/>
        <v>17.440932098739051</v>
      </c>
      <c r="AG40" s="3"/>
      <c r="AI40" s="3"/>
      <c r="AL40" s="1"/>
      <c r="AN40" s="1"/>
    </row>
    <row r="41" spans="1:40">
      <c r="A41" s="5" t="s">
        <v>690</v>
      </c>
      <c r="B41">
        <v>4.5</v>
      </c>
      <c r="C41">
        <v>2</v>
      </c>
      <c r="D41">
        <v>1.1100000000000001</v>
      </c>
      <c r="F41">
        <v>0.11</v>
      </c>
      <c r="H41" s="83">
        <f t="shared" si="20"/>
        <v>2.9200153204633203E-6</v>
      </c>
      <c r="I41" s="83">
        <f t="shared" si="21"/>
        <v>6.3719816689148753E-6</v>
      </c>
      <c r="J41" s="83">
        <f t="shared" si="22"/>
        <v>3.2567254270146715E-4</v>
      </c>
      <c r="L41" s="83">
        <f t="shared" si="23"/>
        <v>1.0763861003861002E-5</v>
      </c>
      <c r="M41" s="83">
        <f t="shared" si="24"/>
        <v>5.2473822393822384E-6</v>
      </c>
      <c r="N41" s="83">
        <f t="shared" si="25"/>
        <v>7.1759073359073361E-8</v>
      </c>
      <c r="O41" s="83">
        <f t="shared" si="26"/>
        <v>5.3127359999999993E-6</v>
      </c>
      <c r="P41" s="83">
        <f t="shared" si="27"/>
        <v>4.1469999999999997E-7</v>
      </c>
      <c r="Q41" s="83">
        <f t="shared" si="28"/>
        <v>4.9067544855780146E-2</v>
      </c>
      <c r="R41" s="83">
        <f t="shared" si="29"/>
        <v>1.3182599647106727</v>
      </c>
      <c r="S41" s="83">
        <f t="shared" si="30"/>
        <v>0</v>
      </c>
      <c r="T41" s="83">
        <f t="shared" si="31"/>
        <v>0.10216514726507715</v>
      </c>
      <c r="U41" s="83">
        <f t="shared" si="32"/>
        <v>5.8765932318873481E-3</v>
      </c>
      <c r="V41" s="83">
        <f t="shared" si="33"/>
        <v>2.3150215761980467E-3</v>
      </c>
      <c r="W41" s="83">
        <f t="shared" si="34"/>
        <v>0.28255135135135134</v>
      </c>
      <c r="X41" s="83">
        <f t="shared" si="35"/>
        <v>0.56510270270270269</v>
      </c>
      <c r="Y41" s="83">
        <f t="shared" si="36"/>
        <v>8.9698841698841695E-8</v>
      </c>
      <c r="Z41" s="83">
        <f t="shared" si="37"/>
        <v>1.0193050193050191E-6</v>
      </c>
      <c r="AA41" s="83">
        <f t="shared" si="38"/>
        <v>1.0193050193050192E-15</v>
      </c>
      <c r="AB41" s="131">
        <f t="shared" si="39"/>
        <v>17.518209939658131</v>
      </c>
      <c r="AG41" s="3"/>
      <c r="AI41" s="3"/>
      <c r="AL41" s="1"/>
      <c r="AN41" s="1"/>
    </row>
    <row r="42" spans="1:40">
      <c r="A42" s="5" t="s">
        <v>698</v>
      </c>
      <c r="B42">
        <v>4.5</v>
      </c>
      <c r="C42">
        <v>2</v>
      </c>
      <c r="D42">
        <v>0.67100000000000004</v>
      </c>
      <c r="F42">
        <v>0.11</v>
      </c>
      <c r="H42" s="83">
        <f t="shared" si="20"/>
        <v>2.9200153204633203E-6</v>
      </c>
      <c r="I42" s="83">
        <f t="shared" si="21"/>
        <v>3.8518916214791728E-6</v>
      </c>
      <c r="J42" s="83">
        <f t="shared" si="22"/>
        <v>3.2567254270146715E-4</v>
      </c>
      <c r="L42" s="83">
        <f t="shared" si="23"/>
        <v>1.0763861003861002E-5</v>
      </c>
      <c r="M42" s="83">
        <f t="shared" si="24"/>
        <v>5.2473822393822384E-6</v>
      </c>
      <c r="N42" s="83">
        <f t="shared" si="25"/>
        <v>7.1759073359073361E-8</v>
      </c>
      <c r="O42" s="83">
        <f t="shared" si="26"/>
        <v>5.3127359999999993E-6</v>
      </c>
      <c r="P42" s="83">
        <f t="shared" si="27"/>
        <v>4.1469999999999997E-7</v>
      </c>
      <c r="Q42" s="83">
        <f t="shared" si="28"/>
        <v>4.9067544855780146E-2</v>
      </c>
      <c r="R42" s="83">
        <f t="shared" si="29"/>
        <v>0.79689408677555085</v>
      </c>
      <c r="S42" s="83">
        <f t="shared" si="30"/>
        <v>0</v>
      </c>
      <c r="T42" s="83">
        <f t="shared" si="31"/>
        <v>6.1759291725105192E-2</v>
      </c>
      <c r="U42" s="83">
        <f t="shared" si="32"/>
        <v>5.8765932318873481E-3</v>
      </c>
      <c r="V42" s="83">
        <f t="shared" si="33"/>
        <v>2.3150215761980467E-3</v>
      </c>
      <c r="W42" s="83">
        <f t="shared" si="34"/>
        <v>0.28255135135135134</v>
      </c>
      <c r="X42" s="83">
        <f t="shared" si="35"/>
        <v>0.56510270270270269</v>
      </c>
      <c r="Y42" s="83">
        <f t="shared" si="36"/>
        <v>8.9698841698841695E-8</v>
      </c>
      <c r="Z42" s="83">
        <f t="shared" si="37"/>
        <v>1.0193050193050191E-6</v>
      </c>
      <c r="AA42" s="83">
        <f t="shared" si="38"/>
        <v>1.0193050193050192E-15</v>
      </c>
      <c r="AB42" s="131">
        <f t="shared" si="39"/>
        <v>17.275888709919023</v>
      </c>
      <c r="AG42" s="3"/>
      <c r="AI42" s="3"/>
      <c r="AL42" s="1"/>
      <c r="AN42" s="1"/>
    </row>
    <row r="43" spans="1:40">
      <c r="A43" s="5" t="s">
        <v>699</v>
      </c>
      <c r="B43">
        <v>4.5</v>
      </c>
      <c r="C43">
        <v>2</v>
      </c>
      <c r="D43">
        <v>0.874</v>
      </c>
      <c r="F43">
        <v>0.11</v>
      </c>
      <c r="H43" s="83">
        <f t="shared" si="20"/>
        <v>2.9200153204633203E-6</v>
      </c>
      <c r="I43" s="83">
        <f t="shared" si="21"/>
        <v>5.0172179987672072E-6</v>
      </c>
      <c r="J43" s="83">
        <f t="shared" si="22"/>
        <v>3.2567254270146715E-4</v>
      </c>
      <c r="L43" s="83">
        <f t="shared" si="23"/>
        <v>1.0763861003861002E-5</v>
      </c>
      <c r="M43" s="83">
        <f t="shared" si="24"/>
        <v>5.2473822393822384E-6</v>
      </c>
      <c r="N43" s="83">
        <f t="shared" si="25"/>
        <v>7.1759073359073361E-8</v>
      </c>
      <c r="O43" s="83">
        <f t="shared" si="26"/>
        <v>5.3127359999999993E-6</v>
      </c>
      <c r="P43" s="83">
        <f t="shared" si="27"/>
        <v>4.1469999999999997E-7</v>
      </c>
      <c r="Q43" s="83">
        <f t="shared" si="28"/>
        <v>4.9067544855780146E-2</v>
      </c>
      <c r="R43" s="83">
        <f t="shared" si="29"/>
        <v>1.0379812695109261</v>
      </c>
      <c r="S43" s="83">
        <f t="shared" si="30"/>
        <v>0</v>
      </c>
      <c r="T43" s="83">
        <f t="shared" si="31"/>
        <v>8.0443548387096775E-2</v>
      </c>
      <c r="U43" s="83">
        <f t="shared" si="32"/>
        <v>5.8765932318873481E-3</v>
      </c>
      <c r="V43" s="83">
        <f t="shared" si="33"/>
        <v>2.3150215761980467E-3</v>
      </c>
      <c r="W43" s="83">
        <f t="shared" si="34"/>
        <v>0.28255135135135134</v>
      </c>
      <c r="X43" s="83">
        <f t="shared" si="35"/>
        <v>0.56510270270270269</v>
      </c>
      <c r="Y43" s="83">
        <f t="shared" si="36"/>
        <v>8.9698841698841695E-8</v>
      </c>
      <c r="Z43" s="83">
        <f t="shared" si="37"/>
        <v>1.0193050193050191E-6</v>
      </c>
      <c r="AA43" s="83">
        <f t="shared" si="38"/>
        <v>1.0193050193050192E-15</v>
      </c>
      <c r="AB43" s="131">
        <f t="shared" si="39"/>
        <v>17.387941579251684</v>
      </c>
      <c r="AG43" s="3"/>
      <c r="AI43" s="3"/>
      <c r="AL43" s="1"/>
      <c r="AN43" s="1"/>
    </row>
    <row r="44" spans="1:40">
      <c r="A44" s="5" t="s">
        <v>700</v>
      </c>
      <c r="B44">
        <v>4.5</v>
      </c>
      <c r="C44">
        <v>2</v>
      </c>
      <c r="D44">
        <v>1.07</v>
      </c>
      <c r="F44">
        <v>0.11</v>
      </c>
      <c r="H44" s="83">
        <f t="shared" si="20"/>
        <v>2.9200153204633203E-6</v>
      </c>
      <c r="I44" s="83">
        <f t="shared" si="21"/>
        <v>6.1423607078728977E-6</v>
      </c>
      <c r="J44" s="83">
        <f t="shared" si="22"/>
        <v>3.2567254270146715E-4</v>
      </c>
      <c r="L44" s="83">
        <f t="shared" si="23"/>
        <v>1.0763861003861002E-5</v>
      </c>
      <c r="M44" s="83">
        <f t="shared" si="24"/>
        <v>5.2473822393822384E-6</v>
      </c>
      <c r="N44" s="83">
        <f t="shared" si="25"/>
        <v>7.1759073359073361E-8</v>
      </c>
      <c r="O44" s="83">
        <f t="shared" si="26"/>
        <v>5.3127359999999993E-6</v>
      </c>
      <c r="P44" s="83">
        <f t="shared" si="27"/>
        <v>4.1469999999999997E-7</v>
      </c>
      <c r="Q44" s="83">
        <f t="shared" si="28"/>
        <v>4.9067544855780146E-2</v>
      </c>
      <c r="R44" s="83">
        <f t="shared" si="29"/>
        <v>1.2707551011174953</v>
      </c>
      <c r="S44" s="83">
        <f t="shared" si="30"/>
        <v>0</v>
      </c>
      <c r="T44" s="83">
        <f t="shared" si="31"/>
        <v>9.8483520336605901E-2</v>
      </c>
      <c r="U44" s="83">
        <f t="shared" si="32"/>
        <v>5.8765932318873481E-3</v>
      </c>
      <c r="V44" s="83">
        <f t="shared" si="33"/>
        <v>2.3150215761980467E-3</v>
      </c>
      <c r="W44" s="83">
        <f t="shared" si="34"/>
        <v>0.28255135135135134</v>
      </c>
      <c r="X44" s="83">
        <f t="shared" si="35"/>
        <v>0.56510270270270269</v>
      </c>
      <c r="Y44" s="83">
        <f t="shared" si="36"/>
        <v>8.9698841698841695E-8</v>
      </c>
      <c r="Z44" s="83">
        <f t="shared" si="37"/>
        <v>1.0193050193050191E-6</v>
      </c>
      <c r="AA44" s="83">
        <f t="shared" si="38"/>
        <v>1.0193050193050192E-15</v>
      </c>
      <c r="AB44" s="131">
        <f t="shared" si="39"/>
        <v>17.496130556538397</v>
      </c>
      <c r="AG44" s="3"/>
      <c r="AI44" s="3"/>
      <c r="AL44" s="1"/>
      <c r="AN44" s="1"/>
    </row>
    <row r="45" spans="1:40">
      <c r="A45" s="5" t="s">
        <v>701</v>
      </c>
      <c r="B45">
        <v>4.5</v>
      </c>
      <c r="C45">
        <v>2</v>
      </c>
      <c r="D45">
        <v>0.85099999999999998</v>
      </c>
      <c r="F45">
        <v>0.11</v>
      </c>
      <c r="H45" s="83">
        <f t="shared" si="20"/>
        <v>2.9200153204633203E-6</v>
      </c>
      <c r="I45" s="83">
        <f t="shared" si="21"/>
        <v>4.8851859461680707E-6</v>
      </c>
      <c r="J45" s="83">
        <f t="shared" si="22"/>
        <v>3.2567254270146715E-4</v>
      </c>
      <c r="K45" s="83">
        <f>3/5.9*K52</f>
        <v>2.0157384987893463E-6</v>
      </c>
      <c r="L45" s="83">
        <f t="shared" si="23"/>
        <v>1.0763861003861002E-5</v>
      </c>
      <c r="M45" s="83">
        <f t="shared" si="24"/>
        <v>5.2473822393822384E-6</v>
      </c>
      <c r="N45" s="83">
        <f t="shared" si="25"/>
        <v>7.1759073359073361E-8</v>
      </c>
      <c r="O45" s="83">
        <f t="shared" si="26"/>
        <v>5.3127359999999993E-6</v>
      </c>
      <c r="P45" s="83">
        <f t="shared" si="27"/>
        <v>4.1469999999999997E-7</v>
      </c>
      <c r="Q45" s="83">
        <f t="shared" si="28"/>
        <v>4.9067544855780146E-2</v>
      </c>
      <c r="R45" s="83">
        <f t="shared" si="29"/>
        <v>1.0106659729448491</v>
      </c>
      <c r="S45" s="83">
        <f t="shared" si="30"/>
        <v>0</v>
      </c>
      <c r="T45" s="83">
        <f t="shared" si="31"/>
        <v>7.8326612903225803E-2</v>
      </c>
      <c r="U45" s="83">
        <f t="shared" si="32"/>
        <v>5.8765932318873481E-3</v>
      </c>
      <c r="V45" s="83">
        <f t="shared" si="33"/>
        <v>2.3150215761980467E-3</v>
      </c>
      <c r="W45" s="83">
        <f t="shared" si="34"/>
        <v>0.28255135135135134</v>
      </c>
      <c r="X45" s="83">
        <f t="shared" si="35"/>
        <v>0.56510270270270269</v>
      </c>
      <c r="Y45" s="83">
        <f t="shared" si="36"/>
        <v>8.9698841698841695E-8</v>
      </c>
      <c r="Z45" s="83">
        <f t="shared" si="37"/>
        <v>1.0193050193050191E-6</v>
      </c>
      <c r="AA45" s="83">
        <f t="shared" si="38"/>
        <v>1.0193050193050192E-15</v>
      </c>
      <c r="AB45" s="131">
        <f t="shared" si="39"/>
        <v>17.476032858897305</v>
      </c>
      <c r="AG45" s="3"/>
      <c r="AI45" s="3"/>
      <c r="AL45" s="1"/>
      <c r="AN45" s="1"/>
    </row>
    <row r="46" spans="1:40">
      <c r="A46" s="44" t="s">
        <v>716</v>
      </c>
      <c r="AB46" s="200"/>
      <c r="AG46" s="3"/>
      <c r="AI46" s="3"/>
      <c r="AL46" s="1"/>
      <c r="AN46" s="1"/>
    </row>
    <row r="47" spans="1:40">
      <c r="A47" t="s">
        <v>632</v>
      </c>
      <c r="B47">
        <v>4.5</v>
      </c>
      <c r="C47">
        <v>2</v>
      </c>
      <c r="D47">
        <v>1.51</v>
      </c>
      <c r="F47">
        <v>0.11</v>
      </c>
      <c r="H47" s="83">
        <f>B47*charco2yoll</f>
        <v>2.9200153204633203E-6</v>
      </c>
      <c r="I47" s="83">
        <f>D47*NOx_YOLL_Oxidant_charfact/0.62</f>
        <v>8.6681912793346488E-6</v>
      </c>
      <c r="J47" s="83">
        <f>F47*PM2.5_YOLL_charfact</f>
        <v>3.2567254270146715E-4</v>
      </c>
      <c r="L47" s="83">
        <f>CO2_malnutrition_charfact*B47</f>
        <v>1.0763861003861002E-5</v>
      </c>
      <c r="M47" s="83">
        <f>CO2_workingcapacity_charfact*B47</f>
        <v>5.2473822393822384E-6</v>
      </c>
      <c r="N47" s="83">
        <f>CO2_diarrhea_charfact*B47</f>
        <v>7.1759073359073361E-8</v>
      </c>
      <c r="O47" s="83">
        <f>PM2.5_asthmacases_charfact*F47</f>
        <v>5.3127359999999993E-6</v>
      </c>
      <c r="P47" s="83">
        <f>PM2.5_COPD_charfact*F47</f>
        <v>4.1469999999999997E-7</v>
      </c>
      <c r="Q47" s="83">
        <f>CO2_crop_charfact*B47</f>
        <v>4.9067544855780146E-2</v>
      </c>
      <c r="R47" s="83">
        <f>charnoxcrop/0.62*D47</f>
        <v>1.7933086006424468</v>
      </c>
      <c r="S47" s="83">
        <f>charco2woodgw*B47</f>
        <v>0</v>
      </c>
      <c r="T47" s="83">
        <f>NOx_wood_oxidantcharfact/0.62*D47</f>
        <v>0.13898141654978963</v>
      </c>
      <c r="U47" s="83">
        <f>CO2_fruitandveg_charfact*B47</f>
        <v>5.8765932318873481E-3</v>
      </c>
      <c r="V47" s="83">
        <f>CO2_meatandfish_charfact*B47</f>
        <v>2.3150215761980467E-3</v>
      </c>
      <c r="W47" s="83">
        <f>CO2_drinkingwater_charfact*B47</f>
        <v>0.28255135135135134</v>
      </c>
      <c r="X47" s="83">
        <f>CO2_irrigationwater_charfact*B47</f>
        <v>0.56510270270270269</v>
      </c>
      <c r="Y47" s="83">
        <f>CO2_housing_charfact*B47</f>
        <v>8.9698841698841695E-8</v>
      </c>
      <c r="Z47" s="83">
        <f>CO2_separations_charfact*B47</f>
        <v>1.0193050193050191E-6</v>
      </c>
      <c r="AA47" s="83">
        <f>CO2_NEX_charfact*B47</f>
        <v>1.0193050193050192E-15</v>
      </c>
      <c r="AB47" s="131">
        <f>(H47+I47+J47+K47)*YOLLvalue+L47*malnutrition+M47*working_capacity+N47*diarrhea+O47*asthmacasesvalue+P47*COPDvalue+(Q47+R47)*cropvalue+(S47+T47)*woodvalue+U47*Fruitandveg_value+V47*fishandmeatvalue+W47*drinkingwatervalue+X47*irrigationwatervalue+Y47*housingvalue+Z47*migrationvalue+AA47*speciesvalue</f>
        <v>17.739003770855501</v>
      </c>
      <c r="AG47" s="3"/>
      <c r="AI47" s="3"/>
      <c r="AL47" s="1"/>
      <c r="AN47" s="1"/>
    </row>
    <row r="48" spans="1:40">
      <c r="A48" s="5" t="s">
        <v>612</v>
      </c>
      <c r="B48">
        <v>4.5</v>
      </c>
      <c r="C48">
        <v>2</v>
      </c>
      <c r="D48">
        <v>0.88</v>
      </c>
      <c r="F48">
        <v>0.11</v>
      </c>
      <c r="H48" s="83">
        <f>B48*charco2yoll</f>
        <v>2.9200153204633203E-6</v>
      </c>
      <c r="I48" s="83">
        <f>D48*NOx_YOLL_Oxidant_charfact/0.62</f>
        <v>5.0516611429235049E-6</v>
      </c>
      <c r="J48" s="83">
        <f>F48*PM2.5_YOLL_charfact</f>
        <v>3.2567254270146715E-4</v>
      </c>
      <c r="L48" s="83">
        <f>CO2_malnutrition_charfact*B48</f>
        <v>1.0763861003861002E-5</v>
      </c>
      <c r="M48" s="83">
        <f>CO2_workingcapacity_charfact*B48</f>
        <v>5.2473822393822384E-6</v>
      </c>
      <c r="N48" s="83">
        <f>CO2_diarrhea_charfact*B48</f>
        <v>7.1759073359073361E-8</v>
      </c>
      <c r="O48" s="83">
        <f>PM2.5_asthmacases_charfact*F48</f>
        <v>5.3127359999999993E-6</v>
      </c>
      <c r="P48" s="83">
        <f>PM2.5_COPD_charfact*F48</f>
        <v>4.1469999999999997E-7</v>
      </c>
      <c r="Q48" s="83">
        <f>CO2_crop_charfact*B48</f>
        <v>4.9067544855780146E-2</v>
      </c>
      <c r="R48" s="83">
        <f>charnoxcrop/0.62*D48</f>
        <v>1.0451069990499027</v>
      </c>
      <c r="S48" s="83">
        <f>charco2woodgw*B48</f>
        <v>0</v>
      </c>
      <c r="T48" s="83">
        <f>NOx_wood_oxidantcharfact/0.62*D48</f>
        <v>8.0995792426367466E-2</v>
      </c>
      <c r="U48" s="83">
        <f>CO2_fruitandveg_charfact*B48</f>
        <v>5.8765932318873481E-3</v>
      </c>
      <c r="V48" s="83">
        <f>CO2_meatandfish_charfact*B48</f>
        <v>2.3150215761980467E-3</v>
      </c>
      <c r="W48" s="83">
        <f>CO2_drinkingwater_charfact*B48</f>
        <v>0.28255135135135134</v>
      </c>
      <c r="X48" s="83">
        <f>CO2_irrigationwater_charfact*B48</f>
        <v>0.56510270270270269</v>
      </c>
      <c r="Y48" s="83">
        <f>CO2_housing_charfact*B48</f>
        <v>8.9698841698841695E-8</v>
      </c>
      <c r="Z48" s="83">
        <f>CO2_separations_charfact*B48</f>
        <v>1.0193050193050191E-6</v>
      </c>
      <c r="AA48" s="83">
        <f>CO2_NEX_charfact*B48</f>
        <v>1.0193050193050192E-15</v>
      </c>
      <c r="AB48" s="131">
        <f>(H48+I48+J48+K48)*YOLLvalue+L48*malnutrition+M48*working_capacity+N48*diarrhea+O48*asthmacasesvalue+P48*COPDvalue+(Q48+R48)*cropvalue+(S48+T48)*woodvalue+U48*Fruitandveg_value+V48*fishandmeatvalue+W48*drinkingwatervalue+X48*irrigationwatervalue+Y48*housingvalue+Z48*migrationvalue+AA48*speciesvalue</f>
        <v>17.391253486719648</v>
      </c>
      <c r="AG48" s="3"/>
      <c r="AI48" s="3"/>
      <c r="AL48" s="1"/>
      <c r="AN48" s="1"/>
    </row>
    <row r="49" spans="1:40">
      <c r="A49" s="44" t="s">
        <v>717</v>
      </c>
      <c r="AB49" s="200"/>
      <c r="AG49" s="3"/>
      <c r="AI49" s="3"/>
      <c r="AL49" s="1"/>
      <c r="AN49" s="1"/>
    </row>
    <row r="50" spans="1:40">
      <c r="A50" t="s">
        <v>216</v>
      </c>
      <c r="B50">
        <v>4.5</v>
      </c>
      <c r="C50">
        <v>2</v>
      </c>
      <c r="D50">
        <v>0.42</v>
      </c>
      <c r="F50">
        <v>0.11</v>
      </c>
      <c r="H50" s="83">
        <f>B50*charco2yoll</f>
        <v>2.9200153204633203E-6</v>
      </c>
      <c r="I50" s="83">
        <f>D50*NOx_YOLL_Oxidant_charfact/0.62</f>
        <v>2.4110200909407636E-6</v>
      </c>
      <c r="J50" s="83">
        <f>F50*PM2.5_YOLL_charfact</f>
        <v>3.2567254270146715E-4</v>
      </c>
      <c r="L50" s="83">
        <f>CO2_malnutrition_charfact*B50</f>
        <v>1.0763861003861002E-5</v>
      </c>
      <c r="M50" s="83">
        <f>CO2_workingcapacity_charfact*B50</f>
        <v>5.2473822393822384E-6</v>
      </c>
      <c r="N50" s="83">
        <f>CO2_diarrhea_charfact*B50</f>
        <v>7.1759073359073361E-8</v>
      </c>
      <c r="O50" s="83">
        <f>PM2.5_asthmacases_charfact*F50</f>
        <v>5.3127359999999993E-6</v>
      </c>
      <c r="P50" s="83">
        <f>PM2.5_COPD_charfact*F50</f>
        <v>4.1469999999999997E-7</v>
      </c>
      <c r="Q50" s="83">
        <f>CO2_crop_charfact*B50</f>
        <v>4.9067544855780146E-2</v>
      </c>
      <c r="R50" s="83">
        <f>charnoxcrop/0.62*D50</f>
        <v>0.49880106772836263</v>
      </c>
      <c r="S50" s="83">
        <f>charco2woodgw*B50</f>
        <v>0</v>
      </c>
      <c r="T50" s="83">
        <f>NOx_wood_oxidantcharfact/0.62*D50</f>
        <v>3.8657082748948107E-2</v>
      </c>
      <c r="U50" s="83">
        <f>CO2_fruitandveg_charfact*B50</f>
        <v>5.8765932318873481E-3</v>
      </c>
      <c r="V50" s="83">
        <f>CO2_meatandfish_charfact*B50</f>
        <v>2.3150215761980467E-3</v>
      </c>
      <c r="W50" s="83">
        <f>CO2_drinkingwater_charfact*B50</f>
        <v>0.28255135135135134</v>
      </c>
      <c r="X50" s="83">
        <f>CO2_irrigationwater_charfact*B50</f>
        <v>0.56510270270270269</v>
      </c>
      <c r="Y50" s="83">
        <f>CO2_housing_charfact*B50</f>
        <v>8.9698841698841695E-8</v>
      </c>
      <c r="Z50" s="83">
        <f>CO2_separations_charfact*B50</f>
        <v>1.0193050193050191E-6</v>
      </c>
      <c r="AA50" s="83">
        <f>CO2_NEX_charfact*B50</f>
        <v>1.0193050193050192E-15</v>
      </c>
      <c r="AB50" s="131">
        <f>(H50+I50+J50+K50)*YOLLvalue+L50*malnutrition+M50*working_capacity+N50*diarrhea+O50*asthmacasesvalue+P50*COPDvalue+(Q50+R50)*cropvalue+(S50+T50)*woodvalue+U50*Fruitandveg_value+V50*fishandmeatvalue+W50*drinkingwatervalue+X50*irrigationwatervalue+Y50*housingvalue+Z50*migrationvalue+AA50*speciesvalue</f>
        <v>17.137340580842675</v>
      </c>
      <c r="AG50" s="3"/>
      <c r="AI50" s="3"/>
      <c r="AL50" s="1"/>
      <c r="AN50" s="1"/>
    </row>
    <row r="51" spans="1:40">
      <c r="A51" s="44" t="s">
        <v>718</v>
      </c>
      <c r="AB51" s="200"/>
      <c r="AG51" s="3"/>
      <c r="AI51" s="3"/>
      <c r="AL51" s="1"/>
      <c r="AN51" s="1"/>
    </row>
    <row r="52" spans="1:40">
      <c r="A52" s="5" t="s">
        <v>191</v>
      </c>
      <c r="B52">
        <v>4.5</v>
      </c>
      <c r="C52">
        <v>2</v>
      </c>
      <c r="D52" s="5">
        <v>0.35</v>
      </c>
      <c r="F52">
        <v>0.11</v>
      </c>
      <c r="H52" s="83">
        <f>B52*charco2yoll</f>
        <v>2.9200153204633203E-6</v>
      </c>
      <c r="I52" s="83">
        <f t="shared" ref="I52:I67" si="40">D52*NOx_YOLL_Oxidant_charfact/0.62</f>
        <v>2.0091834091173031E-6</v>
      </c>
      <c r="J52" s="83">
        <f t="shared" ref="J52:J67" si="41">F52*PM2.5_YOLL_charfact</f>
        <v>3.2567254270146715E-4</v>
      </c>
      <c r="K52" s="83">
        <f xml:space="preserve"> 51800/(5600000000*28/12)</f>
        <v>3.9642857142857143E-6</v>
      </c>
      <c r="L52" s="83">
        <f t="shared" ref="L52:L67" si="42">CO2_malnutrition_charfact*B52</f>
        <v>1.0763861003861002E-5</v>
      </c>
      <c r="M52" s="83">
        <f t="shared" ref="M52:M67" si="43">CO2_workingcapacity_charfact*B52</f>
        <v>5.2473822393822384E-6</v>
      </c>
      <c r="N52" s="83">
        <f t="shared" ref="N52:N67" si="44">CO2_diarrhea_charfact*B52</f>
        <v>7.1759073359073361E-8</v>
      </c>
      <c r="O52" s="83">
        <f t="shared" ref="O52:O67" si="45">PM2.5_asthmacases_charfact*F52</f>
        <v>5.3127359999999993E-6</v>
      </c>
      <c r="P52" s="83">
        <f t="shared" ref="P52:P67" si="46">PM2.5_COPD_charfact*F52</f>
        <v>4.1469999999999997E-7</v>
      </c>
      <c r="Q52" s="83">
        <f t="shared" ref="Q52:Q67" si="47">CO2_crop_charfact*B52</f>
        <v>4.9067544855780146E-2</v>
      </c>
      <c r="R52" s="83">
        <f t="shared" ref="R52:R67" si="48">charnoxcrop/0.62*D52</f>
        <v>0.41566755644030218</v>
      </c>
      <c r="S52" s="83">
        <f t="shared" ref="S52:S67" si="49">charco2woodgw*B52</f>
        <v>0</v>
      </c>
      <c r="T52" s="83">
        <f t="shared" ref="T52:T67" si="50">NOx_wood_oxidantcharfact/0.62*D52</f>
        <v>3.221423562412342E-2</v>
      </c>
      <c r="U52" s="83">
        <f t="shared" ref="U52:U67" si="51">CO2_fruitandveg_charfact*B52</f>
        <v>5.8765932318873481E-3</v>
      </c>
      <c r="V52" s="83">
        <f t="shared" ref="V52:V67" si="52">CO2_meatandfish_charfact*B52</f>
        <v>2.3150215761980467E-3</v>
      </c>
      <c r="W52" s="83">
        <f t="shared" ref="W52:W67" si="53">CO2_drinkingwater_charfact*B52</f>
        <v>0.28255135135135134</v>
      </c>
      <c r="X52" s="83">
        <f t="shared" ref="X52:X67" si="54">CO2_irrigationwater_charfact*B52</f>
        <v>0.56510270270270269</v>
      </c>
      <c r="Y52" s="83">
        <f t="shared" ref="Y52:Y67" si="55">CO2_housing_charfact*B52</f>
        <v>8.9698841698841695E-8</v>
      </c>
      <c r="Z52" s="83">
        <f t="shared" ref="Z52:Z67" si="56">CO2_separations_charfact*B52</f>
        <v>1.0193050193050191E-6</v>
      </c>
      <c r="AA52" s="83">
        <f t="shared" ref="AA52:AA67" si="57">CO2_NEX_charfact*B52</f>
        <v>1.0193050193050192E-15</v>
      </c>
      <c r="AB52" s="131">
        <f t="shared" ref="AB52:AB67" si="58">(H52+I52+J52+K52)*YOLLvalue+L52*malnutrition+M52*working_capacity+N52*diarrhea+O52*asthmacasesvalue+P52*COPDvalue+(Q52+R52)*cropvalue+(S52+T52)*woodvalue+U52*Fruitandveg_value+V52*fishandmeatvalue+W52*drinkingwatervalue+X52*irrigationwatervalue+Y52*housingvalue+Z52*migrationvalue+AA52*speciesvalue</f>
        <v>17.296915946097421</v>
      </c>
      <c r="AG52" s="3"/>
      <c r="AI52" s="3"/>
      <c r="AL52" s="1"/>
      <c r="AN52" s="1"/>
    </row>
    <row r="53" spans="1:40">
      <c r="A53" t="s">
        <v>217</v>
      </c>
      <c r="B53">
        <v>4.5</v>
      </c>
      <c r="C53">
        <v>2</v>
      </c>
      <c r="D53">
        <v>0.48</v>
      </c>
      <c r="F53">
        <v>0.11</v>
      </c>
      <c r="H53" s="83">
        <f>B53*charco2yoll</f>
        <v>2.9200153204633203E-6</v>
      </c>
      <c r="I53" s="83">
        <f t="shared" si="40"/>
        <v>2.7554515325037297E-6</v>
      </c>
      <c r="J53" s="83">
        <f t="shared" si="41"/>
        <v>3.2567254270146715E-4</v>
      </c>
      <c r="L53" s="83">
        <f t="shared" si="42"/>
        <v>1.0763861003861002E-5</v>
      </c>
      <c r="M53" s="83">
        <f t="shared" si="43"/>
        <v>5.2473822393822384E-6</v>
      </c>
      <c r="N53" s="83">
        <f t="shared" si="44"/>
        <v>7.1759073359073361E-8</v>
      </c>
      <c r="O53" s="83">
        <f t="shared" si="45"/>
        <v>5.3127359999999993E-6</v>
      </c>
      <c r="P53" s="83">
        <f t="shared" si="46"/>
        <v>4.1469999999999997E-7</v>
      </c>
      <c r="Q53" s="83">
        <f t="shared" si="47"/>
        <v>4.9067544855780146E-2</v>
      </c>
      <c r="R53" s="83">
        <f t="shared" si="48"/>
        <v>0.57005836311812874</v>
      </c>
      <c r="S53" s="83">
        <f t="shared" si="49"/>
        <v>0</v>
      </c>
      <c r="T53" s="83">
        <f t="shared" si="50"/>
        <v>4.4179523141654978E-2</v>
      </c>
      <c r="U53" s="83">
        <f t="shared" si="51"/>
        <v>5.8765932318873481E-3</v>
      </c>
      <c r="V53" s="83">
        <f t="shared" si="52"/>
        <v>2.3150215761980467E-3</v>
      </c>
      <c r="W53" s="83">
        <f t="shared" si="53"/>
        <v>0.28255135135135134</v>
      </c>
      <c r="X53" s="83">
        <f t="shared" si="54"/>
        <v>0.56510270270270269</v>
      </c>
      <c r="Y53" s="83">
        <f t="shared" si="55"/>
        <v>8.9698841698841695E-8</v>
      </c>
      <c r="Z53" s="83">
        <f t="shared" si="56"/>
        <v>1.0193050193050191E-6</v>
      </c>
      <c r="AA53" s="83">
        <f t="shared" si="57"/>
        <v>1.0193050193050192E-15</v>
      </c>
      <c r="AB53" s="131">
        <f t="shared" si="58"/>
        <v>17.170459655522276</v>
      </c>
      <c r="AG53" s="3"/>
      <c r="AI53" s="3"/>
      <c r="AL53" s="1"/>
      <c r="AN53" s="1"/>
    </row>
    <row r="54" spans="1:40">
      <c r="A54" t="s">
        <v>218</v>
      </c>
      <c r="B54">
        <v>4.5</v>
      </c>
      <c r="C54">
        <v>2</v>
      </c>
      <c r="D54">
        <v>0.75</v>
      </c>
      <c r="F54">
        <v>0.11</v>
      </c>
      <c r="H54" s="83">
        <f>B54*charco2yoll</f>
        <v>2.9200153204633203E-6</v>
      </c>
      <c r="I54" s="83">
        <f t="shared" si="40"/>
        <v>4.3053930195370778E-6</v>
      </c>
      <c r="J54" s="83">
        <f t="shared" si="41"/>
        <v>3.2567254270146715E-4</v>
      </c>
      <c r="L54" s="83">
        <f t="shared" si="42"/>
        <v>1.0763861003861002E-5</v>
      </c>
      <c r="M54" s="83">
        <f t="shared" si="43"/>
        <v>5.2473822393822384E-6</v>
      </c>
      <c r="N54" s="83">
        <f t="shared" si="44"/>
        <v>7.1759073359073361E-8</v>
      </c>
      <c r="O54" s="83">
        <f t="shared" si="45"/>
        <v>5.3127359999999993E-6</v>
      </c>
      <c r="P54" s="83">
        <f t="shared" si="46"/>
        <v>4.1469999999999997E-7</v>
      </c>
      <c r="Q54" s="83">
        <f t="shared" si="47"/>
        <v>4.9067544855780146E-2</v>
      </c>
      <c r="R54" s="83">
        <f t="shared" si="48"/>
        <v>0.89071619237207611</v>
      </c>
      <c r="S54" s="83">
        <f t="shared" si="49"/>
        <v>0</v>
      </c>
      <c r="T54" s="83">
        <f t="shared" si="50"/>
        <v>6.9030504908835902E-2</v>
      </c>
      <c r="U54" s="83">
        <f t="shared" si="51"/>
        <v>5.8765932318873481E-3</v>
      </c>
      <c r="V54" s="83">
        <f t="shared" si="52"/>
        <v>2.3150215761980467E-3</v>
      </c>
      <c r="W54" s="83">
        <f t="shared" si="53"/>
        <v>0.28255135135135134</v>
      </c>
      <c r="X54" s="83">
        <f t="shared" si="54"/>
        <v>0.56510270270270269</v>
      </c>
      <c r="Y54" s="83">
        <f t="shared" si="55"/>
        <v>8.9698841698841695E-8</v>
      </c>
      <c r="Z54" s="83">
        <f t="shared" si="56"/>
        <v>1.0193050193050191E-6</v>
      </c>
      <c r="AA54" s="83">
        <f t="shared" si="57"/>
        <v>1.0193050193050192E-15</v>
      </c>
      <c r="AB54" s="131">
        <f t="shared" si="58"/>
        <v>17.319495491580504</v>
      </c>
      <c r="AG54" s="3"/>
      <c r="AI54" s="3"/>
      <c r="AL54" s="1"/>
      <c r="AN54" s="1"/>
    </row>
    <row r="55" spans="1:40">
      <c r="A55" t="s">
        <v>219</v>
      </c>
      <c r="B55">
        <v>4.5</v>
      </c>
      <c r="C55">
        <v>2</v>
      </c>
      <c r="D55">
        <v>1.08</v>
      </c>
      <c r="F55">
        <v>0.11</v>
      </c>
      <c r="H55" s="83">
        <f>B55*charco2yoll</f>
        <v>2.9200153204633203E-6</v>
      </c>
      <c r="I55" s="83">
        <f t="shared" si="40"/>
        <v>6.1997659481333917E-6</v>
      </c>
      <c r="J55" s="83">
        <f t="shared" si="41"/>
        <v>3.2567254270146715E-4</v>
      </c>
      <c r="L55" s="83">
        <f t="shared" si="42"/>
        <v>1.0763861003861002E-5</v>
      </c>
      <c r="M55" s="83">
        <f t="shared" si="43"/>
        <v>5.2473822393822384E-6</v>
      </c>
      <c r="N55" s="83">
        <f t="shared" si="44"/>
        <v>7.1759073359073361E-8</v>
      </c>
      <c r="O55" s="83">
        <f t="shared" si="45"/>
        <v>5.3127359999999993E-6</v>
      </c>
      <c r="P55" s="83">
        <f t="shared" si="46"/>
        <v>4.1469999999999997E-7</v>
      </c>
      <c r="Q55" s="83">
        <f t="shared" si="47"/>
        <v>4.9067544855780146E-2</v>
      </c>
      <c r="R55" s="83">
        <f t="shared" si="48"/>
        <v>1.2826313170157897</v>
      </c>
      <c r="S55" s="83">
        <f t="shared" si="49"/>
        <v>0</v>
      </c>
      <c r="T55" s="83">
        <f t="shared" si="50"/>
        <v>9.940392706872371E-2</v>
      </c>
      <c r="U55" s="83">
        <f t="shared" si="51"/>
        <v>5.8765932318873481E-3</v>
      </c>
      <c r="V55" s="83">
        <f t="shared" si="52"/>
        <v>2.3150215761980467E-3</v>
      </c>
      <c r="W55" s="83">
        <f t="shared" si="53"/>
        <v>0.28255135135135134</v>
      </c>
      <c r="X55" s="83">
        <f t="shared" si="54"/>
        <v>0.56510270270270269</v>
      </c>
      <c r="Y55" s="83">
        <f t="shared" si="55"/>
        <v>8.9698841698841695E-8</v>
      </c>
      <c r="Z55" s="83">
        <f t="shared" si="56"/>
        <v>1.0193050193050191E-6</v>
      </c>
      <c r="AA55" s="83">
        <f t="shared" si="57"/>
        <v>1.0193050193050192E-15</v>
      </c>
      <c r="AB55" s="131">
        <f t="shared" si="58"/>
        <v>17.501650402318333</v>
      </c>
      <c r="AG55" s="3"/>
      <c r="AI55" s="3"/>
      <c r="AL55" s="1"/>
      <c r="AN55" s="1"/>
    </row>
    <row r="56" spans="1:40">
      <c r="A56" t="s">
        <v>220</v>
      </c>
      <c r="B56">
        <v>4.5</v>
      </c>
      <c r="C56">
        <v>2</v>
      </c>
      <c r="D56">
        <v>1.03</v>
      </c>
      <c r="F56">
        <v>0.11</v>
      </c>
      <c r="H56" s="83">
        <f>B56*charco2yoll</f>
        <v>2.9200153204633203E-6</v>
      </c>
      <c r="I56" s="83">
        <f t="shared" si="40"/>
        <v>5.91273974683092E-6</v>
      </c>
      <c r="J56" s="83">
        <f t="shared" si="41"/>
        <v>3.2567254270146715E-4</v>
      </c>
      <c r="L56" s="83">
        <f t="shared" si="42"/>
        <v>1.0763861003861002E-5</v>
      </c>
      <c r="M56" s="83">
        <f t="shared" si="43"/>
        <v>5.2473822393822384E-6</v>
      </c>
      <c r="N56" s="83">
        <f t="shared" si="44"/>
        <v>7.1759073359073361E-8</v>
      </c>
      <c r="O56" s="83">
        <f t="shared" si="45"/>
        <v>5.3127359999999993E-6</v>
      </c>
      <c r="P56" s="83">
        <f t="shared" si="46"/>
        <v>4.1469999999999997E-7</v>
      </c>
      <c r="Q56" s="83">
        <f t="shared" si="47"/>
        <v>4.9067544855780146E-2</v>
      </c>
      <c r="R56" s="83">
        <f t="shared" si="48"/>
        <v>1.2232502375243179</v>
      </c>
      <c r="S56" s="83">
        <f t="shared" si="49"/>
        <v>0</v>
      </c>
      <c r="T56" s="83">
        <f t="shared" si="50"/>
        <v>9.4801893408134649E-2</v>
      </c>
      <c r="U56" s="83">
        <f t="shared" si="51"/>
        <v>5.8765932318873481E-3</v>
      </c>
      <c r="V56" s="83">
        <f t="shared" si="52"/>
        <v>2.3150215761980467E-3</v>
      </c>
      <c r="W56" s="83">
        <f t="shared" si="53"/>
        <v>0.28255135135135134</v>
      </c>
      <c r="X56" s="83">
        <f t="shared" si="54"/>
        <v>0.56510270270270269</v>
      </c>
      <c r="Y56" s="83">
        <f t="shared" si="55"/>
        <v>8.9698841698841695E-8</v>
      </c>
      <c r="Z56" s="83">
        <f t="shared" si="56"/>
        <v>1.0193050193050191E-6</v>
      </c>
      <c r="AA56" s="83">
        <f t="shared" si="57"/>
        <v>1.0193050193050192E-15</v>
      </c>
      <c r="AB56" s="131">
        <f t="shared" si="58"/>
        <v>17.474051173418658</v>
      </c>
      <c r="AG56" s="3"/>
      <c r="AI56" s="3"/>
      <c r="AL56" s="1"/>
      <c r="AN56" s="1"/>
    </row>
    <row r="57" spans="1:40">
      <c r="A57" t="s">
        <v>221</v>
      </c>
      <c r="B57">
        <v>4.5</v>
      </c>
      <c r="C57">
        <v>2</v>
      </c>
      <c r="D57">
        <v>0.82</v>
      </c>
      <c r="F57">
        <v>0.11</v>
      </c>
      <c r="H57" s="83">
        <f t="shared" ref="H57:H67" si="59">B57*charco2yoll</f>
        <v>2.9200153204633203E-6</v>
      </c>
      <c r="I57" s="83">
        <f t="shared" si="40"/>
        <v>4.7072297013605375E-6</v>
      </c>
      <c r="J57" s="83">
        <f t="shared" si="41"/>
        <v>3.2567254270146715E-4</v>
      </c>
      <c r="L57" s="83">
        <f t="shared" si="42"/>
        <v>1.0763861003861002E-5</v>
      </c>
      <c r="M57" s="83">
        <f t="shared" si="43"/>
        <v>5.2473822393822384E-6</v>
      </c>
      <c r="N57" s="83">
        <f t="shared" si="44"/>
        <v>7.1759073359073361E-8</v>
      </c>
      <c r="O57" s="83">
        <f t="shared" si="45"/>
        <v>5.3127359999999993E-6</v>
      </c>
      <c r="P57" s="83">
        <f t="shared" si="46"/>
        <v>4.1469999999999997E-7</v>
      </c>
      <c r="Q57" s="83">
        <f t="shared" si="47"/>
        <v>4.9067544855780146E-2</v>
      </c>
      <c r="R57" s="83">
        <f t="shared" si="48"/>
        <v>0.97384970366013657</v>
      </c>
      <c r="S57" s="83">
        <f t="shared" si="49"/>
        <v>0</v>
      </c>
      <c r="T57" s="83">
        <f t="shared" si="50"/>
        <v>7.5473352033660582E-2</v>
      </c>
      <c r="U57" s="83">
        <f t="shared" si="51"/>
        <v>5.8765932318873481E-3</v>
      </c>
      <c r="V57" s="83">
        <f t="shared" si="52"/>
        <v>2.3150215761980467E-3</v>
      </c>
      <c r="W57" s="83">
        <f t="shared" si="53"/>
        <v>0.28255135135135134</v>
      </c>
      <c r="X57" s="83">
        <f t="shared" si="54"/>
        <v>0.56510270270270269</v>
      </c>
      <c r="Y57" s="83">
        <f t="shared" si="55"/>
        <v>8.9698841698841695E-8</v>
      </c>
      <c r="Z57" s="83">
        <f t="shared" si="56"/>
        <v>1.0193050193050191E-6</v>
      </c>
      <c r="AA57" s="83">
        <f t="shared" si="57"/>
        <v>1.0193050193050192E-15</v>
      </c>
      <c r="AB57" s="131">
        <f t="shared" si="58"/>
        <v>17.358134412040041</v>
      </c>
      <c r="AG57" s="3"/>
      <c r="AI57" s="3"/>
      <c r="AL57" s="1"/>
      <c r="AN57" s="1"/>
    </row>
    <row r="58" spans="1:40">
      <c r="A58" t="s">
        <v>222</v>
      </c>
      <c r="B58">
        <v>4.5</v>
      </c>
      <c r="C58">
        <v>2</v>
      </c>
      <c r="D58">
        <v>0.62</v>
      </c>
      <c r="F58">
        <v>0.11</v>
      </c>
      <c r="H58" s="83">
        <f t="shared" si="59"/>
        <v>2.9200153204633203E-6</v>
      </c>
      <c r="I58" s="83">
        <f t="shared" si="40"/>
        <v>3.5591248961506504E-6</v>
      </c>
      <c r="J58" s="83">
        <f t="shared" si="41"/>
        <v>3.2567254270146715E-4</v>
      </c>
      <c r="L58" s="83">
        <f t="shared" si="42"/>
        <v>1.0763861003861002E-5</v>
      </c>
      <c r="M58" s="83">
        <f t="shared" si="43"/>
        <v>5.2473822393822384E-6</v>
      </c>
      <c r="N58" s="83">
        <f t="shared" si="44"/>
        <v>7.1759073359073361E-8</v>
      </c>
      <c r="O58" s="83">
        <f t="shared" si="45"/>
        <v>5.3127359999999993E-6</v>
      </c>
      <c r="P58" s="83">
        <f t="shared" si="46"/>
        <v>4.1469999999999997E-7</v>
      </c>
      <c r="Q58" s="83">
        <f t="shared" si="47"/>
        <v>4.9067544855780146E-2</v>
      </c>
      <c r="R58" s="83">
        <f t="shared" si="48"/>
        <v>0.73632538569424966</v>
      </c>
      <c r="S58" s="83">
        <f t="shared" si="49"/>
        <v>0</v>
      </c>
      <c r="T58" s="83">
        <f t="shared" si="50"/>
        <v>5.7065217391304351E-2</v>
      </c>
      <c r="U58" s="83">
        <f t="shared" si="51"/>
        <v>5.8765932318873481E-3</v>
      </c>
      <c r="V58" s="83">
        <f t="shared" si="52"/>
        <v>2.3150215761980467E-3</v>
      </c>
      <c r="W58" s="83">
        <f t="shared" si="53"/>
        <v>0.28255135135135134</v>
      </c>
      <c r="X58" s="83">
        <f t="shared" si="54"/>
        <v>0.56510270270270269</v>
      </c>
      <c r="Y58" s="83">
        <f t="shared" si="55"/>
        <v>8.9698841698841695E-8</v>
      </c>
      <c r="Z58" s="83">
        <f t="shared" si="56"/>
        <v>1.0193050193050191E-6</v>
      </c>
      <c r="AA58" s="83">
        <f t="shared" si="57"/>
        <v>1.0193050193050192E-15</v>
      </c>
      <c r="AB58" s="131">
        <f t="shared" si="58"/>
        <v>17.247737496441356</v>
      </c>
    </row>
    <row r="59" spans="1:40">
      <c r="A59" t="s">
        <v>223</v>
      </c>
      <c r="B59">
        <v>4.5</v>
      </c>
      <c r="C59">
        <v>2</v>
      </c>
      <c r="D59">
        <v>0.81</v>
      </c>
      <c r="F59">
        <v>0.11</v>
      </c>
      <c r="H59" s="83">
        <f t="shared" si="59"/>
        <v>2.9200153204633203E-6</v>
      </c>
      <c r="I59" s="83">
        <f t="shared" si="40"/>
        <v>4.6498244611000444E-6</v>
      </c>
      <c r="J59" s="83">
        <f t="shared" si="41"/>
        <v>3.2567254270146715E-4</v>
      </c>
      <c r="L59" s="83">
        <f t="shared" si="42"/>
        <v>1.0763861003861002E-5</v>
      </c>
      <c r="M59" s="83">
        <f t="shared" si="43"/>
        <v>5.2473822393822384E-6</v>
      </c>
      <c r="N59" s="83">
        <f t="shared" si="44"/>
        <v>7.1759073359073361E-8</v>
      </c>
      <c r="O59" s="83">
        <f t="shared" si="45"/>
        <v>5.3127359999999993E-6</v>
      </c>
      <c r="P59" s="83">
        <f t="shared" si="46"/>
        <v>4.1469999999999997E-7</v>
      </c>
      <c r="Q59" s="83">
        <f t="shared" si="47"/>
        <v>4.9067544855780146E-2</v>
      </c>
      <c r="R59" s="83">
        <f t="shared" si="48"/>
        <v>0.96197348776184233</v>
      </c>
      <c r="S59" s="83">
        <f t="shared" si="49"/>
        <v>0</v>
      </c>
      <c r="T59" s="83">
        <f t="shared" si="50"/>
        <v>7.4552945301542786E-2</v>
      </c>
      <c r="U59" s="83">
        <f t="shared" si="51"/>
        <v>5.8765932318873481E-3</v>
      </c>
      <c r="V59" s="83">
        <f t="shared" si="52"/>
        <v>2.3150215761980467E-3</v>
      </c>
      <c r="W59" s="83">
        <f t="shared" si="53"/>
        <v>0.28255135135135134</v>
      </c>
      <c r="X59" s="83">
        <f t="shared" si="54"/>
        <v>0.56510270270270269</v>
      </c>
      <c r="Y59" s="83">
        <f t="shared" si="55"/>
        <v>8.9698841698841695E-8</v>
      </c>
      <c r="Z59" s="83">
        <f t="shared" si="56"/>
        <v>1.0193050193050191E-6</v>
      </c>
      <c r="AA59" s="83">
        <f t="shared" si="57"/>
        <v>1.0193050193050192E-15</v>
      </c>
      <c r="AB59" s="131">
        <f t="shared" si="58"/>
        <v>17.352614566260112</v>
      </c>
    </row>
    <row r="60" spans="1:40">
      <c r="A60" t="s">
        <v>224</v>
      </c>
      <c r="B60">
        <v>4.5</v>
      </c>
      <c r="C60">
        <v>2</v>
      </c>
      <c r="D60">
        <v>0.63</v>
      </c>
      <c r="F60">
        <v>0.11</v>
      </c>
      <c r="H60" s="83">
        <f t="shared" si="59"/>
        <v>2.9200153204633203E-6</v>
      </c>
      <c r="I60" s="83">
        <f t="shared" si="40"/>
        <v>3.6165301364111452E-6</v>
      </c>
      <c r="J60" s="83">
        <f t="shared" si="41"/>
        <v>3.2567254270146715E-4</v>
      </c>
      <c r="L60" s="83">
        <f t="shared" si="42"/>
        <v>1.0763861003861002E-5</v>
      </c>
      <c r="M60" s="83">
        <f t="shared" si="43"/>
        <v>5.2473822393822384E-6</v>
      </c>
      <c r="N60" s="83">
        <f t="shared" si="44"/>
        <v>7.1759073359073361E-8</v>
      </c>
      <c r="O60" s="83">
        <f t="shared" si="45"/>
        <v>5.3127359999999993E-6</v>
      </c>
      <c r="P60" s="83">
        <f t="shared" si="46"/>
        <v>4.1469999999999997E-7</v>
      </c>
      <c r="Q60" s="83">
        <f t="shared" si="47"/>
        <v>4.9067544855780146E-2</v>
      </c>
      <c r="R60" s="83">
        <f t="shared" si="48"/>
        <v>0.74820160159254401</v>
      </c>
      <c r="S60" s="83">
        <f t="shared" si="49"/>
        <v>0</v>
      </c>
      <c r="T60" s="83">
        <f t="shared" si="50"/>
        <v>5.7985624123422161E-2</v>
      </c>
      <c r="U60" s="83">
        <f t="shared" si="51"/>
        <v>5.8765932318873481E-3</v>
      </c>
      <c r="V60" s="83">
        <f t="shared" si="52"/>
        <v>2.3150215761980467E-3</v>
      </c>
      <c r="W60" s="83">
        <f t="shared" si="53"/>
        <v>0.28255135135135134</v>
      </c>
      <c r="X60" s="83">
        <f t="shared" si="54"/>
        <v>0.56510270270270269</v>
      </c>
      <c r="Y60" s="83">
        <f t="shared" si="55"/>
        <v>8.9698841698841695E-8</v>
      </c>
      <c r="Z60" s="83">
        <f t="shared" si="56"/>
        <v>1.0193050193050191E-6</v>
      </c>
      <c r="AA60" s="83">
        <f t="shared" si="57"/>
        <v>1.0193050193050192E-15</v>
      </c>
      <c r="AB60" s="131">
        <f t="shared" si="58"/>
        <v>17.253257342221293</v>
      </c>
    </row>
    <row r="61" spans="1:40">
      <c r="A61" s="5" t="s">
        <v>226</v>
      </c>
      <c r="B61">
        <v>4.5</v>
      </c>
      <c r="C61">
        <v>2</v>
      </c>
      <c r="D61">
        <v>1.01</v>
      </c>
      <c r="F61">
        <v>0.11</v>
      </c>
      <c r="H61" s="83">
        <f t="shared" si="59"/>
        <v>2.9200153204633203E-6</v>
      </c>
      <c r="I61" s="83">
        <f t="shared" si="40"/>
        <v>5.7979292663099311E-6</v>
      </c>
      <c r="J61" s="83">
        <f t="shared" si="41"/>
        <v>3.2567254270146715E-4</v>
      </c>
      <c r="L61" s="83">
        <f t="shared" si="42"/>
        <v>1.0763861003861002E-5</v>
      </c>
      <c r="M61" s="83">
        <f t="shared" si="43"/>
        <v>5.2473822393822384E-6</v>
      </c>
      <c r="N61" s="83">
        <f t="shared" si="44"/>
        <v>7.1759073359073361E-8</v>
      </c>
      <c r="O61" s="83">
        <f t="shared" si="45"/>
        <v>5.3127359999999993E-6</v>
      </c>
      <c r="P61" s="83">
        <f t="shared" si="46"/>
        <v>4.1469999999999997E-7</v>
      </c>
      <c r="Q61" s="83">
        <f t="shared" si="47"/>
        <v>4.9067544855780146E-2</v>
      </c>
      <c r="R61" s="83">
        <f t="shared" si="48"/>
        <v>1.1994978057277292</v>
      </c>
      <c r="S61" s="83">
        <f t="shared" si="49"/>
        <v>0</v>
      </c>
      <c r="T61" s="83">
        <f t="shared" si="50"/>
        <v>9.2961079943899017E-2</v>
      </c>
      <c r="U61" s="83">
        <f t="shared" si="51"/>
        <v>5.8765932318873481E-3</v>
      </c>
      <c r="V61" s="83">
        <f t="shared" si="52"/>
        <v>2.3150215761980467E-3</v>
      </c>
      <c r="W61" s="83">
        <f t="shared" si="53"/>
        <v>0.28255135135135134</v>
      </c>
      <c r="X61" s="83">
        <f t="shared" si="54"/>
        <v>0.56510270270270269</v>
      </c>
      <c r="Y61" s="83">
        <f t="shared" si="55"/>
        <v>8.9698841698841695E-8</v>
      </c>
      <c r="Z61" s="83">
        <f t="shared" si="56"/>
        <v>1.0193050193050191E-6</v>
      </c>
      <c r="AA61" s="83">
        <f t="shared" si="57"/>
        <v>1.0193050193050192E-15</v>
      </c>
      <c r="AB61" s="131">
        <f t="shared" si="58"/>
        <v>17.463011481858793</v>
      </c>
    </row>
    <row r="62" spans="1:40">
      <c r="A62" s="5" t="s">
        <v>225</v>
      </c>
      <c r="B62">
        <v>4.5</v>
      </c>
      <c r="C62">
        <v>2</v>
      </c>
      <c r="D62">
        <v>0.62</v>
      </c>
      <c r="F62">
        <v>0.11</v>
      </c>
      <c r="H62" s="83">
        <f t="shared" si="59"/>
        <v>2.9200153204633203E-6</v>
      </c>
      <c r="I62" s="83">
        <f t="shared" si="40"/>
        <v>3.5591248961506504E-6</v>
      </c>
      <c r="J62" s="83">
        <f t="shared" si="41"/>
        <v>3.2567254270146715E-4</v>
      </c>
      <c r="L62" s="83">
        <f t="shared" si="42"/>
        <v>1.0763861003861002E-5</v>
      </c>
      <c r="M62" s="83">
        <f t="shared" si="43"/>
        <v>5.2473822393822384E-6</v>
      </c>
      <c r="N62" s="83">
        <f t="shared" si="44"/>
        <v>7.1759073359073361E-8</v>
      </c>
      <c r="O62" s="83">
        <f t="shared" si="45"/>
        <v>5.3127359999999993E-6</v>
      </c>
      <c r="P62" s="83">
        <f t="shared" si="46"/>
        <v>4.1469999999999997E-7</v>
      </c>
      <c r="Q62" s="83">
        <f t="shared" si="47"/>
        <v>4.9067544855780146E-2</v>
      </c>
      <c r="R62" s="83">
        <f t="shared" si="48"/>
        <v>0.73632538569424966</v>
      </c>
      <c r="S62" s="83">
        <f t="shared" si="49"/>
        <v>0</v>
      </c>
      <c r="T62" s="83">
        <f t="shared" si="50"/>
        <v>5.7065217391304351E-2</v>
      </c>
      <c r="U62" s="83">
        <f t="shared" si="51"/>
        <v>5.8765932318873481E-3</v>
      </c>
      <c r="V62" s="83">
        <f t="shared" si="52"/>
        <v>2.3150215761980467E-3</v>
      </c>
      <c r="W62" s="83">
        <f t="shared" si="53"/>
        <v>0.28255135135135134</v>
      </c>
      <c r="X62" s="83">
        <f t="shared" si="54"/>
        <v>0.56510270270270269</v>
      </c>
      <c r="Y62" s="83">
        <f t="shared" si="55"/>
        <v>8.9698841698841695E-8</v>
      </c>
      <c r="Z62" s="83">
        <f t="shared" si="56"/>
        <v>1.0193050193050191E-6</v>
      </c>
      <c r="AA62" s="83">
        <f t="shared" si="57"/>
        <v>1.0193050193050192E-15</v>
      </c>
      <c r="AB62" s="131">
        <f t="shared" si="58"/>
        <v>17.247737496441356</v>
      </c>
    </row>
    <row r="63" spans="1:40">
      <c r="A63" t="s">
        <v>227</v>
      </c>
      <c r="B63">
        <v>4.5</v>
      </c>
      <c r="C63">
        <v>2</v>
      </c>
      <c r="D63">
        <v>0.95</v>
      </c>
      <c r="F63">
        <v>0.11</v>
      </c>
      <c r="H63" s="83">
        <f t="shared" si="59"/>
        <v>2.9200153204633203E-6</v>
      </c>
      <c r="I63" s="83">
        <f t="shared" si="40"/>
        <v>5.4534978247469646E-6</v>
      </c>
      <c r="J63" s="83">
        <f t="shared" si="41"/>
        <v>3.2567254270146715E-4</v>
      </c>
      <c r="L63" s="83">
        <f t="shared" si="42"/>
        <v>1.0763861003861002E-5</v>
      </c>
      <c r="M63" s="83">
        <f t="shared" si="43"/>
        <v>5.2473822393822384E-6</v>
      </c>
      <c r="N63" s="83">
        <f t="shared" si="44"/>
        <v>7.1759073359073361E-8</v>
      </c>
      <c r="O63" s="83">
        <f t="shared" si="45"/>
        <v>5.3127359999999993E-6</v>
      </c>
      <c r="P63" s="83">
        <f t="shared" si="46"/>
        <v>4.1469999999999997E-7</v>
      </c>
      <c r="Q63" s="83">
        <f t="shared" si="47"/>
        <v>4.9067544855780146E-2</v>
      </c>
      <c r="R63" s="83">
        <f t="shared" si="48"/>
        <v>1.1282405103379631</v>
      </c>
      <c r="S63" s="83">
        <f t="shared" si="49"/>
        <v>0</v>
      </c>
      <c r="T63" s="83">
        <f t="shared" si="50"/>
        <v>8.7438639551192146E-2</v>
      </c>
      <c r="U63" s="83">
        <f t="shared" si="51"/>
        <v>5.8765932318873481E-3</v>
      </c>
      <c r="V63" s="83">
        <f t="shared" si="52"/>
        <v>2.3150215761980467E-3</v>
      </c>
      <c r="W63" s="83">
        <f t="shared" si="53"/>
        <v>0.28255135135135134</v>
      </c>
      <c r="X63" s="83">
        <f t="shared" si="54"/>
        <v>0.56510270270270269</v>
      </c>
      <c r="Y63" s="83">
        <f t="shared" si="55"/>
        <v>8.9698841698841695E-8</v>
      </c>
      <c r="Z63" s="83">
        <f t="shared" si="56"/>
        <v>1.0193050193050191E-6</v>
      </c>
      <c r="AA63" s="83">
        <f t="shared" si="57"/>
        <v>1.0193050193050192E-15</v>
      </c>
      <c r="AB63" s="131">
        <f t="shared" si="58"/>
        <v>17.429892407179185</v>
      </c>
    </row>
    <row r="64" spans="1:40">
      <c r="A64" t="s">
        <v>228</v>
      </c>
      <c r="B64">
        <v>4.5</v>
      </c>
      <c r="C64">
        <v>2</v>
      </c>
      <c r="D64">
        <v>0.79</v>
      </c>
      <c r="F64">
        <v>0.11</v>
      </c>
      <c r="H64" s="83">
        <f t="shared" si="59"/>
        <v>2.9200153204633203E-6</v>
      </c>
      <c r="I64" s="83">
        <f t="shared" si="40"/>
        <v>4.5350139805790555E-6</v>
      </c>
      <c r="J64" s="83">
        <f t="shared" si="41"/>
        <v>3.2567254270146715E-4</v>
      </c>
      <c r="L64" s="83">
        <f t="shared" si="42"/>
        <v>1.0763861003861002E-5</v>
      </c>
      <c r="M64" s="83">
        <f t="shared" si="43"/>
        <v>5.2473822393822384E-6</v>
      </c>
      <c r="N64" s="83">
        <f t="shared" si="44"/>
        <v>7.1759073359073361E-8</v>
      </c>
      <c r="O64" s="83">
        <f t="shared" si="45"/>
        <v>5.3127359999999993E-6</v>
      </c>
      <c r="P64" s="83">
        <f t="shared" si="46"/>
        <v>4.1469999999999997E-7</v>
      </c>
      <c r="Q64" s="83">
        <f t="shared" si="47"/>
        <v>4.9067544855780146E-2</v>
      </c>
      <c r="R64" s="83">
        <f t="shared" si="48"/>
        <v>0.93822105596525363</v>
      </c>
      <c r="S64" s="83">
        <f t="shared" si="49"/>
        <v>0</v>
      </c>
      <c r="T64" s="83">
        <f t="shared" si="50"/>
        <v>7.2712131837307153E-2</v>
      </c>
      <c r="U64" s="83">
        <f t="shared" si="51"/>
        <v>5.8765932318873481E-3</v>
      </c>
      <c r="V64" s="83">
        <f t="shared" si="52"/>
        <v>2.3150215761980467E-3</v>
      </c>
      <c r="W64" s="83">
        <f t="shared" si="53"/>
        <v>0.28255135135135134</v>
      </c>
      <c r="X64" s="83">
        <f t="shared" si="54"/>
        <v>0.56510270270270269</v>
      </c>
      <c r="Y64" s="83">
        <f t="shared" si="55"/>
        <v>8.9698841698841695E-8</v>
      </c>
      <c r="Z64" s="83">
        <f t="shared" si="56"/>
        <v>1.0193050193050191E-6</v>
      </c>
      <c r="AA64" s="83">
        <f t="shared" si="57"/>
        <v>1.0193050193050192E-15</v>
      </c>
      <c r="AB64" s="131">
        <f t="shared" si="58"/>
        <v>17.341574874700239</v>
      </c>
    </row>
    <row r="65" spans="1:28">
      <c r="A65" t="s">
        <v>229</v>
      </c>
      <c r="B65">
        <v>4.5</v>
      </c>
      <c r="C65">
        <v>2</v>
      </c>
      <c r="D65">
        <v>0.63</v>
      </c>
      <c r="F65">
        <v>0.11</v>
      </c>
      <c r="H65" s="83">
        <f t="shared" si="59"/>
        <v>2.9200153204633203E-6</v>
      </c>
      <c r="I65" s="83">
        <f t="shared" si="40"/>
        <v>3.6165301364111452E-6</v>
      </c>
      <c r="J65" s="83">
        <f t="shared" si="41"/>
        <v>3.2567254270146715E-4</v>
      </c>
      <c r="L65" s="83">
        <f t="shared" si="42"/>
        <v>1.0763861003861002E-5</v>
      </c>
      <c r="M65" s="83">
        <f t="shared" si="43"/>
        <v>5.2473822393822384E-6</v>
      </c>
      <c r="N65" s="83">
        <f t="shared" si="44"/>
        <v>7.1759073359073361E-8</v>
      </c>
      <c r="O65" s="83">
        <f t="shared" si="45"/>
        <v>5.3127359999999993E-6</v>
      </c>
      <c r="P65" s="83">
        <f t="shared" si="46"/>
        <v>4.1469999999999997E-7</v>
      </c>
      <c r="Q65" s="83">
        <f t="shared" si="47"/>
        <v>4.9067544855780146E-2</v>
      </c>
      <c r="R65" s="83">
        <f t="shared" si="48"/>
        <v>0.74820160159254401</v>
      </c>
      <c r="S65" s="83">
        <f t="shared" si="49"/>
        <v>0</v>
      </c>
      <c r="T65" s="83">
        <f t="shared" si="50"/>
        <v>5.7985624123422161E-2</v>
      </c>
      <c r="U65" s="83">
        <f t="shared" si="51"/>
        <v>5.8765932318873481E-3</v>
      </c>
      <c r="V65" s="83">
        <f t="shared" si="52"/>
        <v>2.3150215761980467E-3</v>
      </c>
      <c r="W65" s="83">
        <f t="shared" si="53"/>
        <v>0.28255135135135134</v>
      </c>
      <c r="X65" s="83">
        <f t="shared" si="54"/>
        <v>0.56510270270270269</v>
      </c>
      <c r="Y65" s="83">
        <f t="shared" si="55"/>
        <v>8.9698841698841695E-8</v>
      </c>
      <c r="Z65" s="83">
        <f t="shared" si="56"/>
        <v>1.0193050193050191E-6</v>
      </c>
      <c r="AA65" s="83">
        <f t="shared" si="57"/>
        <v>1.0193050193050192E-15</v>
      </c>
      <c r="AB65" s="131">
        <f t="shared" si="58"/>
        <v>17.253257342221293</v>
      </c>
    </row>
    <row r="66" spans="1:28">
      <c r="A66" t="s">
        <v>620</v>
      </c>
      <c r="B66">
        <v>4.5</v>
      </c>
      <c r="C66">
        <v>2</v>
      </c>
      <c r="D66">
        <v>1.32</v>
      </c>
      <c r="F66">
        <v>0.11</v>
      </c>
      <c r="H66" s="83">
        <f t="shared" si="59"/>
        <v>2.9200153204633203E-6</v>
      </c>
      <c r="I66" s="83">
        <f t="shared" si="40"/>
        <v>7.5774917143852561E-6</v>
      </c>
      <c r="J66" s="83">
        <f t="shared" si="41"/>
        <v>3.2567254270146715E-4</v>
      </c>
      <c r="L66" s="83">
        <f t="shared" si="42"/>
        <v>1.0763861003861002E-5</v>
      </c>
      <c r="M66" s="83">
        <f t="shared" si="43"/>
        <v>5.2473822393822384E-6</v>
      </c>
      <c r="N66" s="83">
        <f t="shared" si="44"/>
        <v>7.1759073359073361E-8</v>
      </c>
      <c r="O66" s="83">
        <f t="shared" si="45"/>
        <v>5.3127359999999993E-6</v>
      </c>
      <c r="P66" s="83">
        <f t="shared" si="46"/>
        <v>4.1469999999999997E-7</v>
      </c>
      <c r="Q66" s="83">
        <f t="shared" si="47"/>
        <v>4.9067544855780146E-2</v>
      </c>
      <c r="R66" s="83">
        <f t="shared" si="48"/>
        <v>1.5676604985748541</v>
      </c>
      <c r="S66" s="83">
        <f t="shared" si="49"/>
        <v>0</v>
      </c>
      <c r="T66" s="83">
        <f t="shared" si="50"/>
        <v>0.12149368863955119</v>
      </c>
      <c r="U66" s="83">
        <f t="shared" si="51"/>
        <v>5.8765932318873481E-3</v>
      </c>
      <c r="V66" s="83">
        <f t="shared" si="52"/>
        <v>2.3150215761980467E-3</v>
      </c>
      <c r="W66" s="83">
        <f t="shared" si="53"/>
        <v>0.28255135135135134</v>
      </c>
      <c r="X66" s="83">
        <f t="shared" si="54"/>
        <v>0.56510270270270269</v>
      </c>
      <c r="Y66" s="83">
        <f t="shared" si="55"/>
        <v>8.9698841698841695E-8</v>
      </c>
      <c r="Z66" s="83">
        <f t="shared" si="56"/>
        <v>1.0193050193050191E-6</v>
      </c>
      <c r="AA66" s="83">
        <f t="shared" si="57"/>
        <v>1.0193050193050192E-15</v>
      </c>
      <c r="AB66" s="131">
        <f t="shared" si="58"/>
        <v>17.634126701036749</v>
      </c>
    </row>
    <row r="67" spans="1:28">
      <c r="A67" t="s">
        <v>619</v>
      </c>
      <c r="B67">
        <v>4.5</v>
      </c>
      <c r="C67">
        <v>2</v>
      </c>
      <c r="D67">
        <v>1.2949999999999999</v>
      </c>
      <c r="F67">
        <v>0.11</v>
      </c>
      <c r="H67" s="83">
        <f t="shared" si="59"/>
        <v>2.9200153204633203E-6</v>
      </c>
      <c r="I67" s="83">
        <f t="shared" si="40"/>
        <v>7.4339786137340198E-6</v>
      </c>
      <c r="J67" s="83">
        <f t="shared" si="41"/>
        <v>3.2567254270146715E-4</v>
      </c>
      <c r="L67" s="83">
        <f t="shared" si="42"/>
        <v>1.0763861003861002E-5</v>
      </c>
      <c r="M67" s="83">
        <f t="shared" si="43"/>
        <v>5.2473822393822384E-6</v>
      </c>
      <c r="N67" s="83">
        <f t="shared" si="44"/>
        <v>7.1759073359073361E-8</v>
      </c>
      <c r="O67" s="83">
        <f t="shared" si="45"/>
        <v>5.3127359999999993E-6</v>
      </c>
      <c r="P67" s="83">
        <f t="shared" si="46"/>
        <v>4.1469999999999997E-7</v>
      </c>
      <c r="Q67" s="83">
        <f t="shared" si="47"/>
        <v>4.9067544855780146E-2</v>
      </c>
      <c r="R67" s="83">
        <f t="shared" si="48"/>
        <v>1.537969958829118</v>
      </c>
      <c r="S67" s="83">
        <f t="shared" si="49"/>
        <v>0</v>
      </c>
      <c r="T67" s="83">
        <f t="shared" si="50"/>
        <v>0.11919267180925666</v>
      </c>
      <c r="U67" s="83">
        <f t="shared" si="51"/>
        <v>5.8765932318873481E-3</v>
      </c>
      <c r="V67" s="83">
        <f t="shared" si="52"/>
        <v>2.3150215761980467E-3</v>
      </c>
      <c r="W67" s="83">
        <f t="shared" si="53"/>
        <v>0.28255135135135134</v>
      </c>
      <c r="X67" s="83">
        <f t="shared" si="54"/>
        <v>0.56510270270270269</v>
      </c>
      <c r="Y67" s="83">
        <f t="shared" si="55"/>
        <v>8.9698841698841695E-8</v>
      </c>
      <c r="Z67" s="83">
        <f t="shared" si="56"/>
        <v>1.0193050193050191E-6</v>
      </c>
      <c r="AA67" s="83">
        <f t="shared" si="57"/>
        <v>1.0193050193050192E-15</v>
      </c>
      <c r="AB67" s="131">
        <f t="shared" si="58"/>
        <v>17.620327086586919</v>
      </c>
    </row>
    <row r="68" spans="1:28">
      <c r="A68" s="44" t="s">
        <v>719</v>
      </c>
      <c r="AB68" s="200"/>
    </row>
    <row r="69" spans="1:28">
      <c r="A69" t="s">
        <v>230</v>
      </c>
      <c r="B69">
        <v>4.5</v>
      </c>
      <c r="C69">
        <v>2</v>
      </c>
      <c r="D69">
        <v>0.17</v>
      </c>
      <c r="F69">
        <v>0.11</v>
      </c>
      <c r="H69" s="83">
        <f t="shared" ref="H69:H82" si="60">B69*charco2yoll</f>
        <v>2.9200153204633203E-6</v>
      </c>
      <c r="I69" s="83">
        <f t="shared" ref="I69:I82" si="61">D69*NOx_YOLL_Oxidant_charfact/0.62</f>
        <v>9.7588908442840433E-7</v>
      </c>
      <c r="J69" s="83">
        <f t="shared" ref="J69:J82" si="62">F69*PM2.5_YOLL_charfact</f>
        <v>3.2567254270146715E-4</v>
      </c>
      <c r="L69" s="83">
        <f t="shared" ref="L69:L82" si="63">CO2_malnutrition_charfact*B69</f>
        <v>1.0763861003861002E-5</v>
      </c>
      <c r="M69" s="83">
        <f t="shared" ref="M69:M82" si="64">CO2_workingcapacity_charfact*B69</f>
        <v>5.2473822393822384E-6</v>
      </c>
      <c r="N69" s="83">
        <f t="shared" ref="N69:N82" si="65">CO2_diarrhea_charfact*B69</f>
        <v>7.1759073359073361E-8</v>
      </c>
      <c r="O69" s="83">
        <f t="shared" ref="O69:O82" si="66">PM2.5_asthmacases_charfact*F69</f>
        <v>5.3127359999999993E-6</v>
      </c>
      <c r="P69" s="83">
        <f t="shared" ref="P69:P82" si="67">PM2.5_COPD_charfact*F69</f>
        <v>4.1469999999999997E-7</v>
      </c>
      <c r="Q69" s="83">
        <f t="shared" ref="Q69:Q82" si="68">CO2_crop_charfact*B69</f>
        <v>4.9067544855780146E-2</v>
      </c>
      <c r="R69" s="83">
        <f t="shared" ref="R69:R82" si="69">charnoxcrop/0.62*D69</f>
        <v>0.20189567027100394</v>
      </c>
      <c r="S69" s="83">
        <f t="shared" ref="S69:S82" si="70">charco2woodgw*B69</f>
        <v>0</v>
      </c>
      <c r="T69" s="83">
        <f t="shared" ref="T69:T82" si="71">NOx_wood_oxidantcharfact/0.62*D69</f>
        <v>1.5646914446002805E-2</v>
      </c>
      <c r="U69" s="83">
        <f t="shared" ref="U69:U82" si="72">CO2_fruitandveg_charfact*B69</f>
        <v>5.8765932318873481E-3</v>
      </c>
      <c r="V69" s="83">
        <f t="shared" ref="V69:V82" si="73">CO2_meatandfish_charfact*B69</f>
        <v>2.3150215761980467E-3</v>
      </c>
      <c r="W69" s="83">
        <f t="shared" ref="W69:W82" si="74">CO2_drinkingwater_charfact*B69</f>
        <v>0.28255135135135134</v>
      </c>
      <c r="X69" s="83">
        <f t="shared" ref="X69:X82" si="75">CO2_irrigationwater_charfact*B69</f>
        <v>0.56510270270270269</v>
      </c>
      <c r="Y69" s="83">
        <f t="shared" ref="Y69:Y82" si="76">CO2_housing_charfact*B69</f>
        <v>8.9698841698841695E-8</v>
      </c>
      <c r="Z69" s="83">
        <f t="shared" ref="Z69:Z82" si="77">CO2_separations_charfact*B69</f>
        <v>1.0193050193050191E-6</v>
      </c>
      <c r="AA69" s="83">
        <f t="shared" ref="AA69:AA82" si="78">CO2_NEX_charfact*B69</f>
        <v>1.0193050193050192E-15</v>
      </c>
      <c r="AB69" s="131">
        <f t="shared" ref="AB69:AB82" si="79">(H69+I69+J69+K69)*YOLLvalue+L69*malnutrition+M69*working_capacity+N69*diarrhea+O69*asthmacasesvalue+P69*COPDvalue+(Q69+R69)*cropvalue+(S69+T69)*woodvalue+U69*Fruitandveg_value+V69*fishandmeatvalue+W69*drinkingwatervalue+X69*irrigationwatervalue+Y69*housingvalue+Z69*migrationvalue+AA69*speciesvalue</f>
        <v>16.999344436344316</v>
      </c>
    </row>
    <row r="70" spans="1:28">
      <c r="A70" t="s">
        <v>231</v>
      </c>
      <c r="B70">
        <v>4.5</v>
      </c>
      <c r="C70">
        <v>2</v>
      </c>
      <c r="D70">
        <v>0.53</v>
      </c>
      <c r="F70">
        <v>0.11</v>
      </c>
      <c r="H70" s="83">
        <f t="shared" si="60"/>
        <v>2.9200153204633203E-6</v>
      </c>
      <c r="I70" s="83">
        <f t="shared" si="61"/>
        <v>3.0424777338062018E-6</v>
      </c>
      <c r="J70" s="83">
        <f t="shared" si="62"/>
        <v>3.2567254270146715E-4</v>
      </c>
      <c r="L70" s="83">
        <f t="shared" si="63"/>
        <v>1.0763861003861002E-5</v>
      </c>
      <c r="M70" s="83">
        <f t="shared" si="64"/>
        <v>5.2473822393822384E-6</v>
      </c>
      <c r="N70" s="83">
        <f t="shared" si="65"/>
        <v>7.1759073359073361E-8</v>
      </c>
      <c r="O70" s="83">
        <f t="shared" si="66"/>
        <v>5.3127359999999993E-6</v>
      </c>
      <c r="P70" s="83">
        <f t="shared" si="67"/>
        <v>4.1469999999999997E-7</v>
      </c>
      <c r="Q70" s="83">
        <f t="shared" si="68"/>
        <v>4.9067544855780146E-2</v>
      </c>
      <c r="R70" s="83">
        <f t="shared" si="69"/>
        <v>0.6294394426096005</v>
      </c>
      <c r="S70" s="83">
        <f t="shared" si="70"/>
        <v>0</v>
      </c>
      <c r="T70" s="83">
        <f t="shared" si="71"/>
        <v>4.8781556802244039E-2</v>
      </c>
      <c r="U70" s="83">
        <f t="shared" si="72"/>
        <v>5.8765932318873481E-3</v>
      </c>
      <c r="V70" s="83">
        <f t="shared" si="73"/>
        <v>2.3150215761980467E-3</v>
      </c>
      <c r="W70" s="83">
        <f t="shared" si="74"/>
        <v>0.28255135135135134</v>
      </c>
      <c r="X70" s="83">
        <f t="shared" si="75"/>
        <v>0.56510270270270269</v>
      </c>
      <c r="Y70" s="83">
        <f t="shared" si="76"/>
        <v>8.9698841698841695E-8</v>
      </c>
      <c r="Z70" s="83">
        <f t="shared" si="77"/>
        <v>1.0193050193050191E-6</v>
      </c>
      <c r="AA70" s="83">
        <f t="shared" si="78"/>
        <v>1.0193050193050192E-15</v>
      </c>
      <c r="AB70" s="131">
        <f t="shared" si="79"/>
        <v>17.198058884421954</v>
      </c>
    </row>
    <row r="71" spans="1:28">
      <c r="A71" s="5" t="s">
        <v>702</v>
      </c>
      <c r="B71">
        <v>4.5</v>
      </c>
      <c r="C71">
        <v>2</v>
      </c>
      <c r="D71">
        <v>0.54300000000000004</v>
      </c>
      <c r="F71">
        <v>0.11</v>
      </c>
      <c r="H71" s="83">
        <f t="shared" si="60"/>
        <v>2.9200153204633203E-6</v>
      </c>
      <c r="I71" s="83">
        <f t="shared" si="61"/>
        <v>3.1171045461448443E-6</v>
      </c>
      <c r="J71" s="83">
        <f t="shared" si="62"/>
        <v>3.2567254270146715E-4</v>
      </c>
      <c r="L71" s="83">
        <f t="shared" si="63"/>
        <v>1.0763861003861002E-5</v>
      </c>
      <c r="M71" s="83">
        <f t="shared" si="64"/>
        <v>5.2473822393822384E-6</v>
      </c>
      <c r="N71" s="83">
        <f t="shared" si="65"/>
        <v>7.1759073359073361E-8</v>
      </c>
      <c r="O71" s="83">
        <f t="shared" si="66"/>
        <v>5.3127359999999993E-6</v>
      </c>
      <c r="P71" s="83">
        <f t="shared" si="67"/>
        <v>4.1469999999999997E-7</v>
      </c>
      <c r="Q71" s="83">
        <f t="shared" si="68"/>
        <v>4.9067544855780146E-2</v>
      </c>
      <c r="R71" s="83">
        <f t="shared" si="69"/>
        <v>0.64487852327738315</v>
      </c>
      <c r="S71" s="83">
        <f t="shared" si="70"/>
        <v>0</v>
      </c>
      <c r="T71" s="83">
        <f t="shared" si="71"/>
        <v>4.9978085553997201E-2</v>
      </c>
      <c r="U71" s="83">
        <f t="shared" si="72"/>
        <v>5.8765932318873481E-3</v>
      </c>
      <c r="V71" s="83">
        <f t="shared" si="73"/>
        <v>2.3150215761980467E-3</v>
      </c>
      <c r="W71" s="83">
        <f t="shared" si="74"/>
        <v>0.28255135135135134</v>
      </c>
      <c r="X71" s="83">
        <f t="shared" si="75"/>
        <v>0.56510270270270269</v>
      </c>
      <c r="Y71" s="83">
        <f t="shared" si="76"/>
        <v>8.9698841698841695E-8</v>
      </c>
      <c r="Z71" s="83">
        <f t="shared" si="77"/>
        <v>1.0193050193050191E-6</v>
      </c>
      <c r="AA71" s="83">
        <f t="shared" si="78"/>
        <v>1.0193050193050192E-15</v>
      </c>
      <c r="AB71" s="131">
        <f t="shared" si="79"/>
        <v>17.205234683935863</v>
      </c>
    </row>
    <row r="72" spans="1:28">
      <c r="A72" t="s">
        <v>232</v>
      </c>
      <c r="B72">
        <v>4.5</v>
      </c>
      <c r="C72">
        <v>2</v>
      </c>
      <c r="D72">
        <v>0.4</v>
      </c>
      <c r="F72">
        <v>0.11</v>
      </c>
      <c r="H72" s="83">
        <f t="shared" si="60"/>
        <v>2.9200153204633203E-6</v>
      </c>
      <c r="I72" s="83">
        <f t="shared" si="61"/>
        <v>2.2962096104197748E-6</v>
      </c>
      <c r="J72" s="83">
        <f t="shared" si="62"/>
        <v>3.2567254270146715E-4</v>
      </c>
      <c r="L72" s="83">
        <f t="shared" si="63"/>
        <v>1.0763861003861002E-5</v>
      </c>
      <c r="M72" s="83">
        <f t="shared" si="64"/>
        <v>5.2473822393822384E-6</v>
      </c>
      <c r="N72" s="83">
        <f t="shared" si="65"/>
        <v>7.1759073359073361E-8</v>
      </c>
      <c r="O72" s="83">
        <f t="shared" si="66"/>
        <v>5.3127359999999993E-6</v>
      </c>
      <c r="P72" s="83">
        <f t="shared" si="67"/>
        <v>4.1469999999999997E-7</v>
      </c>
      <c r="Q72" s="83">
        <f t="shared" si="68"/>
        <v>4.9067544855780146E-2</v>
      </c>
      <c r="R72" s="83">
        <f t="shared" si="69"/>
        <v>0.47504863593177399</v>
      </c>
      <c r="S72" s="83">
        <f t="shared" si="70"/>
        <v>0</v>
      </c>
      <c r="T72" s="83">
        <f t="shared" si="71"/>
        <v>3.6816269284712481E-2</v>
      </c>
      <c r="U72" s="83">
        <f t="shared" si="72"/>
        <v>5.8765932318873481E-3</v>
      </c>
      <c r="V72" s="83">
        <f t="shared" si="73"/>
        <v>2.3150215761980467E-3</v>
      </c>
      <c r="W72" s="83">
        <f t="shared" si="74"/>
        <v>0.28255135135135134</v>
      </c>
      <c r="X72" s="83">
        <f t="shared" si="75"/>
        <v>0.56510270270270269</v>
      </c>
      <c r="Y72" s="83">
        <f t="shared" si="76"/>
        <v>8.9698841698841695E-8</v>
      </c>
      <c r="Z72" s="83">
        <f t="shared" si="77"/>
        <v>1.0193050193050191E-6</v>
      </c>
      <c r="AA72" s="83">
        <f t="shared" si="78"/>
        <v>1.0193050193050192E-15</v>
      </c>
      <c r="AB72" s="131">
        <f t="shared" si="79"/>
        <v>17.12630088928281</v>
      </c>
    </row>
    <row r="73" spans="1:28">
      <c r="A73" t="s">
        <v>233</v>
      </c>
      <c r="B73">
        <v>4.5</v>
      </c>
      <c r="C73">
        <v>2</v>
      </c>
      <c r="D73">
        <v>0.79</v>
      </c>
      <c r="F73">
        <v>0.11</v>
      </c>
      <c r="H73" s="83">
        <f t="shared" si="60"/>
        <v>2.9200153204633203E-6</v>
      </c>
      <c r="I73" s="83">
        <f t="shared" si="61"/>
        <v>4.5350139805790555E-6</v>
      </c>
      <c r="J73" s="83">
        <f t="shared" si="62"/>
        <v>3.2567254270146715E-4</v>
      </c>
      <c r="L73" s="83">
        <f t="shared" si="63"/>
        <v>1.0763861003861002E-5</v>
      </c>
      <c r="M73" s="83">
        <f t="shared" si="64"/>
        <v>5.2473822393822384E-6</v>
      </c>
      <c r="N73" s="83">
        <f t="shared" si="65"/>
        <v>7.1759073359073361E-8</v>
      </c>
      <c r="O73" s="83">
        <f t="shared" si="66"/>
        <v>5.3127359999999993E-6</v>
      </c>
      <c r="P73" s="83">
        <f t="shared" si="67"/>
        <v>4.1469999999999997E-7</v>
      </c>
      <c r="Q73" s="83">
        <f t="shared" si="68"/>
        <v>4.9067544855780146E-2</v>
      </c>
      <c r="R73" s="83">
        <f t="shared" si="69"/>
        <v>0.93822105596525363</v>
      </c>
      <c r="S73" s="83">
        <f t="shared" si="70"/>
        <v>0</v>
      </c>
      <c r="T73" s="83">
        <f t="shared" si="71"/>
        <v>7.2712131837307153E-2</v>
      </c>
      <c r="U73" s="83">
        <f t="shared" si="72"/>
        <v>5.8765932318873481E-3</v>
      </c>
      <c r="V73" s="83">
        <f t="shared" si="73"/>
        <v>2.3150215761980467E-3</v>
      </c>
      <c r="W73" s="83">
        <f t="shared" si="74"/>
        <v>0.28255135135135134</v>
      </c>
      <c r="X73" s="83">
        <f t="shared" si="75"/>
        <v>0.56510270270270269</v>
      </c>
      <c r="Y73" s="83">
        <f t="shared" si="76"/>
        <v>8.9698841698841695E-8</v>
      </c>
      <c r="Z73" s="83">
        <f t="shared" si="77"/>
        <v>1.0193050193050191E-6</v>
      </c>
      <c r="AA73" s="83">
        <f t="shared" si="78"/>
        <v>1.0193050193050192E-15</v>
      </c>
      <c r="AB73" s="131">
        <f t="shared" si="79"/>
        <v>17.341574874700239</v>
      </c>
    </row>
    <row r="74" spans="1:28">
      <c r="A74" t="s">
        <v>234</v>
      </c>
      <c r="B74">
        <v>4.5</v>
      </c>
      <c r="C74">
        <v>2</v>
      </c>
      <c r="D74">
        <v>0.375</v>
      </c>
      <c r="F74">
        <v>0.11</v>
      </c>
      <c r="H74" s="83">
        <f t="shared" si="60"/>
        <v>2.9200153204633203E-6</v>
      </c>
      <c r="I74" s="83">
        <f t="shared" si="61"/>
        <v>2.1526965097685389E-6</v>
      </c>
      <c r="J74" s="83">
        <f t="shared" si="62"/>
        <v>3.2567254270146715E-4</v>
      </c>
      <c r="L74" s="83">
        <f t="shared" si="63"/>
        <v>1.0763861003861002E-5</v>
      </c>
      <c r="M74" s="83">
        <f t="shared" si="64"/>
        <v>5.2473822393822384E-6</v>
      </c>
      <c r="N74" s="83">
        <f t="shared" si="65"/>
        <v>7.1759073359073361E-8</v>
      </c>
      <c r="O74" s="83">
        <f t="shared" si="66"/>
        <v>5.3127359999999993E-6</v>
      </c>
      <c r="P74" s="83">
        <f t="shared" si="67"/>
        <v>4.1469999999999997E-7</v>
      </c>
      <c r="Q74" s="83">
        <f t="shared" si="68"/>
        <v>4.9067544855780146E-2</v>
      </c>
      <c r="R74" s="83">
        <f t="shared" si="69"/>
        <v>0.44535809618603805</v>
      </c>
      <c r="S74" s="83">
        <f t="shared" si="70"/>
        <v>0</v>
      </c>
      <c r="T74" s="83">
        <f t="shared" si="71"/>
        <v>3.4515252454417951E-2</v>
      </c>
      <c r="U74" s="83">
        <f t="shared" si="72"/>
        <v>5.8765932318873481E-3</v>
      </c>
      <c r="V74" s="83">
        <f t="shared" si="73"/>
        <v>2.3150215761980467E-3</v>
      </c>
      <c r="W74" s="83">
        <f t="shared" si="74"/>
        <v>0.28255135135135134</v>
      </c>
      <c r="X74" s="83">
        <f t="shared" si="75"/>
        <v>0.56510270270270269</v>
      </c>
      <c r="Y74" s="83">
        <f t="shared" si="76"/>
        <v>8.9698841698841695E-8</v>
      </c>
      <c r="Z74" s="83">
        <f t="shared" si="77"/>
        <v>1.0193050193050191E-6</v>
      </c>
      <c r="AA74" s="83">
        <f t="shared" si="78"/>
        <v>1.0193050193050192E-15</v>
      </c>
      <c r="AB74" s="131">
        <f t="shared" si="79"/>
        <v>17.112501274832972</v>
      </c>
    </row>
    <row r="75" spans="1:28">
      <c r="A75" s="5" t="s">
        <v>693</v>
      </c>
      <c r="B75">
        <v>4.5</v>
      </c>
      <c r="C75">
        <v>2</v>
      </c>
      <c r="D75">
        <v>0.4</v>
      </c>
      <c r="F75">
        <v>0.11</v>
      </c>
      <c r="H75" s="83">
        <f t="shared" si="60"/>
        <v>2.9200153204633203E-6</v>
      </c>
      <c r="I75" s="83">
        <f t="shared" si="61"/>
        <v>2.2962096104197748E-6</v>
      </c>
      <c r="J75" s="83">
        <f t="shared" si="62"/>
        <v>3.2567254270146715E-4</v>
      </c>
      <c r="L75" s="83">
        <f t="shared" si="63"/>
        <v>1.0763861003861002E-5</v>
      </c>
      <c r="M75" s="83">
        <f t="shared" si="64"/>
        <v>5.2473822393822384E-6</v>
      </c>
      <c r="N75" s="83">
        <f t="shared" si="65"/>
        <v>7.1759073359073361E-8</v>
      </c>
      <c r="O75" s="83">
        <f t="shared" si="66"/>
        <v>5.3127359999999993E-6</v>
      </c>
      <c r="P75" s="83">
        <f t="shared" si="67"/>
        <v>4.1469999999999997E-7</v>
      </c>
      <c r="Q75" s="83">
        <f t="shared" si="68"/>
        <v>4.9067544855780146E-2</v>
      </c>
      <c r="R75" s="83">
        <f t="shared" si="69"/>
        <v>0.47504863593177399</v>
      </c>
      <c r="S75" s="83">
        <f t="shared" si="70"/>
        <v>0</v>
      </c>
      <c r="T75" s="83">
        <f t="shared" si="71"/>
        <v>3.6816269284712481E-2</v>
      </c>
      <c r="U75" s="83">
        <f t="shared" si="72"/>
        <v>5.8765932318873481E-3</v>
      </c>
      <c r="V75" s="83">
        <f t="shared" si="73"/>
        <v>2.3150215761980467E-3</v>
      </c>
      <c r="W75" s="83">
        <f t="shared" si="74"/>
        <v>0.28255135135135134</v>
      </c>
      <c r="X75" s="83">
        <f t="shared" si="75"/>
        <v>0.56510270270270269</v>
      </c>
      <c r="Y75" s="83">
        <f t="shared" si="76"/>
        <v>8.9698841698841695E-8</v>
      </c>
      <c r="Z75" s="83">
        <f t="shared" si="77"/>
        <v>1.0193050193050191E-6</v>
      </c>
      <c r="AA75" s="83">
        <f t="shared" si="78"/>
        <v>1.0193050193050192E-15</v>
      </c>
      <c r="AB75" s="131">
        <f t="shared" si="79"/>
        <v>17.12630088928281</v>
      </c>
    </row>
    <row r="76" spans="1:28">
      <c r="A76" s="5" t="s">
        <v>694</v>
      </c>
      <c r="B76">
        <v>4.5</v>
      </c>
      <c r="C76">
        <v>2</v>
      </c>
      <c r="D76">
        <v>0.123</v>
      </c>
      <c r="F76">
        <v>0.11</v>
      </c>
      <c r="H76" s="83">
        <f t="shared" si="60"/>
        <v>2.9200153204633203E-6</v>
      </c>
      <c r="I76" s="83">
        <f t="shared" si="61"/>
        <v>7.0608445520408067E-7</v>
      </c>
      <c r="J76" s="83">
        <f t="shared" si="62"/>
        <v>3.2567254270146715E-4</v>
      </c>
      <c r="L76" s="83">
        <f t="shared" si="63"/>
        <v>1.0763861003861002E-5</v>
      </c>
      <c r="M76" s="83">
        <f t="shared" si="64"/>
        <v>5.2473822393822384E-6</v>
      </c>
      <c r="N76" s="83">
        <f t="shared" si="65"/>
        <v>7.1759073359073361E-8</v>
      </c>
      <c r="O76" s="83">
        <f t="shared" si="66"/>
        <v>5.3127359999999993E-6</v>
      </c>
      <c r="P76" s="83">
        <f t="shared" si="67"/>
        <v>4.1469999999999997E-7</v>
      </c>
      <c r="Q76" s="83">
        <f t="shared" si="68"/>
        <v>4.9067544855780146E-2</v>
      </c>
      <c r="R76" s="83">
        <f t="shared" si="69"/>
        <v>0.14607745554902049</v>
      </c>
      <c r="S76" s="83">
        <f t="shared" si="70"/>
        <v>0</v>
      </c>
      <c r="T76" s="83">
        <f t="shared" si="71"/>
        <v>1.1321002805049088E-2</v>
      </c>
      <c r="U76" s="83">
        <f t="shared" si="72"/>
        <v>5.8765932318873481E-3</v>
      </c>
      <c r="V76" s="83">
        <f t="shared" si="73"/>
        <v>2.3150215761980467E-3</v>
      </c>
      <c r="W76" s="83">
        <f t="shared" si="74"/>
        <v>0.28255135135135134</v>
      </c>
      <c r="X76" s="83">
        <f t="shared" si="75"/>
        <v>0.56510270270270269</v>
      </c>
      <c r="Y76" s="83">
        <f t="shared" si="76"/>
        <v>8.9698841698841695E-8</v>
      </c>
      <c r="Z76" s="83">
        <f t="shared" si="77"/>
        <v>1.0193050193050191E-6</v>
      </c>
      <c r="AA76" s="83">
        <f t="shared" si="78"/>
        <v>1.0193050193050192E-15</v>
      </c>
      <c r="AB76" s="131">
        <f t="shared" si="79"/>
        <v>16.973401161178629</v>
      </c>
    </row>
    <row r="77" spans="1:28">
      <c r="A77" s="5" t="s">
        <v>695</v>
      </c>
      <c r="B77">
        <v>4.5</v>
      </c>
      <c r="C77">
        <v>2</v>
      </c>
      <c r="D77">
        <v>0.42199999999999999</v>
      </c>
      <c r="F77">
        <v>0.11</v>
      </c>
      <c r="H77" s="83">
        <f t="shared" si="60"/>
        <v>2.9200153204633203E-6</v>
      </c>
      <c r="I77" s="83">
        <f t="shared" si="61"/>
        <v>2.4225011389928622E-6</v>
      </c>
      <c r="J77" s="83">
        <f t="shared" si="62"/>
        <v>3.2567254270146715E-4</v>
      </c>
      <c r="L77" s="83">
        <f t="shared" si="63"/>
        <v>1.0763861003861002E-5</v>
      </c>
      <c r="M77" s="83">
        <f t="shared" si="64"/>
        <v>5.2473822393822384E-6</v>
      </c>
      <c r="N77" s="83">
        <f t="shared" si="65"/>
        <v>7.1759073359073361E-8</v>
      </c>
      <c r="O77" s="83">
        <f t="shared" si="66"/>
        <v>5.3127359999999993E-6</v>
      </c>
      <c r="P77" s="83">
        <f t="shared" si="67"/>
        <v>4.1469999999999997E-7</v>
      </c>
      <c r="Q77" s="83">
        <f t="shared" si="68"/>
        <v>4.9067544855780146E-2</v>
      </c>
      <c r="R77" s="83">
        <f t="shared" si="69"/>
        <v>0.50117631090802151</v>
      </c>
      <c r="S77" s="83">
        <f t="shared" si="70"/>
        <v>0</v>
      </c>
      <c r="T77" s="83">
        <f t="shared" si="71"/>
        <v>3.8841164095371666E-2</v>
      </c>
      <c r="U77" s="83">
        <f t="shared" si="72"/>
        <v>5.8765932318873481E-3</v>
      </c>
      <c r="V77" s="83">
        <f t="shared" si="73"/>
        <v>2.3150215761980467E-3</v>
      </c>
      <c r="W77" s="83">
        <f t="shared" si="74"/>
        <v>0.28255135135135134</v>
      </c>
      <c r="X77" s="83">
        <f t="shared" si="75"/>
        <v>0.56510270270270269</v>
      </c>
      <c r="Y77" s="83">
        <f t="shared" si="76"/>
        <v>8.9698841698841695E-8</v>
      </c>
      <c r="Z77" s="83">
        <f t="shared" si="77"/>
        <v>1.0193050193050191E-6</v>
      </c>
      <c r="AA77" s="83">
        <f t="shared" si="78"/>
        <v>1.0193050193050192E-15</v>
      </c>
      <c r="AB77" s="131">
        <f t="shared" si="79"/>
        <v>17.13844454999866</v>
      </c>
    </row>
    <row r="78" spans="1:28">
      <c r="A78" s="5" t="s">
        <v>616</v>
      </c>
      <c r="B78">
        <v>4.5</v>
      </c>
      <c r="C78">
        <v>2</v>
      </c>
      <c r="D78">
        <v>0.40699999999999997</v>
      </c>
      <c r="F78">
        <v>0.11</v>
      </c>
      <c r="H78" s="83">
        <f t="shared" si="60"/>
        <v>2.9200153204633203E-6</v>
      </c>
      <c r="I78" s="83">
        <f t="shared" si="61"/>
        <v>2.3363932786021207E-6</v>
      </c>
      <c r="J78" s="83">
        <f t="shared" si="62"/>
        <v>3.2567254270146715E-4</v>
      </c>
      <c r="L78" s="83">
        <f t="shared" si="63"/>
        <v>1.0763861003861002E-5</v>
      </c>
      <c r="M78" s="83">
        <f t="shared" si="64"/>
        <v>5.2473822393822384E-6</v>
      </c>
      <c r="N78" s="83">
        <f t="shared" si="65"/>
        <v>7.1759073359073361E-8</v>
      </c>
      <c r="O78" s="83">
        <f t="shared" si="66"/>
        <v>5.3127359999999993E-6</v>
      </c>
      <c r="P78" s="83">
        <f t="shared" si="67"/>
        <v>4.1469999999999997E-7</v>
      </c>
      <c r="Q78" s="83">
        <f t="shared" si="68"/>
        <v>4.9067544855780146E-2</v>
      </c>
      <c r="R78" s="83">
        <f t="shared" si="69"/>
        <v>0.48336198706057998</v>
      </c>
      <c r="S78" s="83">
        <f t="shared" si="70"/>
        <v>0</v>
      </c>
      <c r="T78" s="83">
        <f t="shared" si="71"/>
        <v>3.7460553997194952E-2</v>
      </c>
      <c r="U78" s="83">
        <f t="shared" si="72"/>
        <v>5.8765932318873481E-3</v>
      </c>
      <c r="V78" s="83">
        <f t="shared" si="73"/>
        <v>2.3150215761980467E-3</v>
      </c>
      <c r="W78" s="83">
        <f t="shared" si="74"/>
        <v>0.28255135135135134</v>
      </c>
      <c r="X78" s="83">
        <f t="shared" si="75"/>
        <v>0.56510270270270269</v>
      </c>
      <c r="Y78" s="83">
        <f t="shared" si="76"/>
        <v>8.9698841698841695E-8</v>
      </c>
      <c r="Z78" s="83">
        <f t="shared" si="77"/>
        <v>1.0193050193050191E-6</v>
      </c>
      <c r="AA78" s="83">
        <f t="shared" si="78"/>
        <v>1.0193050193050192E-15</v>
      </c>
      <c r="AB78" s="131">
        <f t="shared" si="79"/>
        <v>17.130164781328759</v>
      </c>
    </row>
    <row r="79" spans="1:28">
      <c r="A79" s="5" t="s">
        <v>623</v>
      </c>
      <c r="B79">
        <v>4.5</v>
      </c>
      <c r="C79">
        <v>2</v>
      </c>
      <c r="D79">
        <v>0.41199999999999998</v>
      </c>
      <c r="F79">
        <v>0.11</v>
      </c>
      <c r="H79" s="83">
        <f t="shared" si="60"/>
        <v>2.9200153204633203E-6</v>
      </c>
      <c r="I79" s="83">
        <f t="shared" si="61"/>
        <v>2.3650958987323677E-6</v>
      </c>
      <c r="J79" s="83">
        <f t="shared" si="62"/>
        <v>3.2567254270146715E-4</v>
      </c>
      <c r="L79" s="83">
        <f t="shared" si="63"/>
        <v>1.0763861003861002E-5</v>
      </c>
      <c r="M79" s="83">
        <f t="shared" si="64"/>
        <v>5.2473822393822384E-6</v>
      </c>
      <c r="N79" s="83">
        <f t="shared" si="65"/>
        <v>7.1759073359073361E-8</v>
      </c>
      <c r="O79" s="83">
        <f t="shared" si="66"/>
        <v>5.3127359999999993E-6</v>
      </c>
      <c r="P79" s="83">
        <f t="shared" si="67"/>
        <v>4.1469999999999997E-7</v>
      </c>
      <c r="Q79" s="83">
        <f t="shared" si="68"/>
        <v>4.9067544855780146E-2</v>
      </c>
      <c r="R79" s="83">
        <f t="shared" si="69"/>
        <v>0.48930009500972715</v>
      </c>
      <c r="S79" s="83">
        <f t="shared" si="70"/>
        <v>0</v>
      </c>
      <c r="T79" s="83">
        <f t="shared" si="71"/>
        <v>3.7920757363253857E-2</v>
      </c>
      <c r="U79" s="83">
        <f t="shared" si="72"/>
        <v>5.8765932318873481E-3</v>
      </c>
      <c r="V79" s="83">
        <f t="shared" si="73"/>
        <v>2.3150215761980467E-3</v>
      </c>
      <c r="W79" s="83">
        <f t="shared" si="74"/>
        <v>0.28255135135135134</v>
      </c>
      <c r="X79" s="83">
        <f t="shared" si="75"/>
        <v>0.56510270270270269</v>
      </c>
      <c r="Y79" s="83">
        <f t="shared" si="76"/>
        <v>8.9698841698841695E-8</v>
      </c>
      <c r="Z79" s="83">
        <f t="shared" si="77"/>
        <v>1.0193050193050191E-6</v>
      </c>
      <c r="AA79" s="83">
        <f t="shared" si="78"/>
        <v>1.0193050193050192E-15</v>
      </c>
      <c r="AB79" s="131">
        <f t="shared" si="79"/>
        <v>17.132924704218727</v>
      </c>
    </row>
    <row r="80" spans="1:28">
      <c r="A80" s="5" t="s">
        <v>621</v>
      </c>
      <c r="B80">
        <v>4.5</v>
      </c>
      <c r="C80">
        <v>2</v>
      </c>
      <c r="D80">
        <v>0.36599999999999999</v>
      </c>
      <c r="F80">
        <v>0.11</v>
      </c>
      <c r="H80" s="83">
        <f t="shared" si="60"/>
        <v>2.9200153204633203E-6</v>
      </c>
      <c r="I80" s="83">
        <f t="shared" si="61"/>
        <v>2.101031793534094E-6</v>
      </c>
      <c r="J80" s="83">
        <f t="shared" si="62"/>
        <v>3.2567254270146715E-4</v>
      </c>
      <c r="L80" s="83">
        <f t="shared" si="63"/>
        <v>1.0763861003861002E-5</v>
      </c>
      <c r="M80" s="83">
        <f t="shared" si="64"/>
        <v>5.2473822393822384E-6</v>
      </c>
      <c r="N80" s="83">
        <f t="shared" si="65"/>
        <v>7.1759073359073361E-8</v>
      </c>
      <c r="O80" s="83">
        <f t="shared" si="66"/>
        <v>5.3127359999999993E-6</v>
      </c>
      <c r="P80" s="83">
        <f t="shared" si="67"/>
        <v>4.1469999999999997E-7</v>
      </c>
      <c r="Q80" s="83">
        <f t="shared" si="68"/>
        <v>4.9067544855780146E-2</v>
      </c>
      <c r="R80" s="83">
        <f t="shared" si="69"/>
        <v>0.43466950187757314</v>
      </c>
      <c r="S80" s="83">
        <f t="shared" si="70"/>
        <v>0</v>
      </c>
      <c r="T80" s="83">
        <f t="shared" si="71"/>
        <v>3.3686886395511921E-2</v>
      </c>
      <c r="U80" s="83">
        <f t="shared" si="72"/>
        <v>5.8765932318873481E-3</v>
      </c>
      <c r="V80" s="83">
        <f t="shared" si="73"/>
        <v>2.3150215761980467E-3</v>
      </c>
      <c r="W80" s="83">
        <f t="shared" si="74"/>
        <v>0.28255135135135134</v>
      </c>
      <c r="X80" s="83">
        <f t="shared" si="75"/>
        <v>0.56510270270270269</v>
      </c>
      <c r="Y80" s="83">
        <f t="shared" si="76"/>
        <v>8.9698841698841695E-8</v>
      </c>
      <c r="Z80" s="83">
        <f t="shared" si="77"/>
        <v>1.0193050193050191E-6</v>
      </c>
      <c r="AA80" s="83">
        <f t="shared" si="78"/>
        <v>1.0193050193050192E-15</v>
      </c>
      <c r="AB80" s="131">
        <f t="shared" si="79"/>
        <v>17.107533413631028</v>
      </c>
    </row>
    <row r="81" spans="1:28">
      <c r="A81" s="5" t="s">
        <v>617</v>
      </c>
      <c r="B81">
        <v>4.5</v>
      </c>
      <c r="C81">
        <v>2</v>
      </c>
      <c r="D81">
        <v>0.14199999999999999</v>
      </c>
      <c r="F81">
        <v>0.11</v>
      </c>
      <c r="H81" s="83">
        <f t="shared" si="60"/>
        <v>2.9200153204633203E-6</v>
      </c>
      <c r="I81" s="83">
        <f t="shared" si="61"/>
        <v>8.1515441169902003E-7</v>
      </c>
      <c r="J81" s="83">
        <f t="shared" si="62"/>
        <v>3.2567254270146715E-4</v>
      </c>
      <c r="L81" s="83">
        <f t="shared" si="63"/>
        <v>1.0763861003861002E-5</v>
      </c>
      <c r="M81" s="83">
        <f t="shared" si="64"/>
        <v>5.2473822393822384E-6</v>
      </c>
      <c r="N81" s="83">
        <f t="shared" si="65"/>
        <v>7.1759073359073361E-8</v>
      </c>
      <c r="O81" s="83">
        <f t="shared" si="66"/>
        <v>5.3127359999999993E-6</v>
      </c>
      <c r="P81" s="83">
        <f t="shared" si="67"/>
        <v>4.1469999999999997E-7</v>
      </c>
      <c r="Q81" s="83">
        <f t="shared" si="68"/>
        <v>4.9067544855780146E-2</v>
      </c>
      <c r="R81" s="83">
        <f t="shared" si="69"/>
        <v>0.16864226575577973</v>
      </c>
      <c r="S81" s="83">
        <f t="shared" si="70"/>
        <v>0</v>
      </c>
      <c r="T81" s="83">
        <f t="shared" si="71"/>
        <v>1.3069775596072931E-2</v>
      </c>
      <c r="U81" s="83">
        <f t="shared" si="72"/>
        <v>5.8765932318873481E-3</v>
      </c>
      <c r="V81" s="83">
        <f t="shared" si="73"/>
        <v>2.3150215761980467E-3</v>
      </c>
      <c r="W81" s="83">
        <f t="shared" si="74"/>
        <v>0.28255135135135134</v>
      </c>
      <c r="X81" s="83">
        <f t="shared" si="75"/>
        <v>0.56510270270270269</v>
      </c>
      <c r="Y81" s="83">
        <f t="shared" si="76"/>
        <v>8.9698841698841695E-8</v>
      </c>
      <c r="Z81" s="83">
        <f t="shared" si="77"/>
        <v>1.0193050193050191E-6</v>
      </c>
      <c r="AA81" s="83">
        <f t="shared" si="78"/>
        <v>1.0193050193050192E-15</v>
      </c>
      <c r="AB81" s="131">
        <f t="shared" si="79"/>
        <v>16.983888868160502</v>
      </c>
    </row>
    <row r="82" spans="1:28">
      <c r="A82" s="5" t="s">
        <v>625</v>
      </c>
      <c r="B82">
        <v>4.5</v>
      </c>
      <c r="C82">
        <v>2</v>
      </c>
      <c r="D82">
        <v>0.26200000000000001</v>
      </c>
      <c r="F82">
        <v>0.11</v>
      </c>
      <c r="H82" s="83">
        <f t="shared" si="60"/>
        <v>2.9200153204633203E-6</v>
      </c>
      <c r="I82" s="83">
        <f t="shared" si="61"/>
        <v>1.5040172948249525E-6</v>
      </c>
      <c r="J82" s="83">
        <f t="shared" si="62"/>
        <v>3.2567254270146715E-4</v>
      </c>
      <c r="L82" s="83">
        <f t="shared" si="63"/>
        <v>1.0763861003861002E-5</v>
      </c>
      <c r="M82" s="83">
        <f t="shared" si="64"/>
        <v>5.2473822393822384E-6</v>
      </c>
      <c r="N82" s="83">
        <f t="shared" si="65"/>
        <v>7.1759073359073361E-8</v>
      </c>
      <c r="O82" s="83">
        <f t="shared" si="66"/>
        <v>5.3127359999999993E-6</v>
      </c>
      <c r="P82" s="83">
        <f t="shared" si="67"/>
        <v>4.1469999999999997E-7</v>
      </c>
      <c r="Q82" s="83">
        <f t="shared" si="68"/>
        <v>4.9067544855780146E-2</v>
      </c>
      <c r="R82" s="83">
        <f t="shared" si="69"/>
        <v>0.31115685653531194</v>
      </c>
      <c r="S82" s="83">
        <f t="shared" si="70"/>
        <v>0</v>
      </c>
      <c r="T82" s="83">
        <f t="shared" si="71"/>
        <v>2.4114656381486677E-2</v>
      </c>
      <c r="U82" s="83">
        <f t="shared" si="72"/>
        <v>5.8765932318873481E-3</v>
      </c>
      <c r="V82" s="83">
        <f t="shared" si="73"/>
        <v>2.3150215761980467E-3</v>
      </c>
      <c r="W82" s="83">
        <f t="shared" si="74"/>
        <v>0.28255135135135134</v>
      </c>
      <c r="X82" s="83">
        <f t="shared" si="75"/>
        <v>0.56510270270270269</v>
      </c>
      <c r="Y82" s="83">
        <f t="shared" si="76"/>
        <v>8.9698841698841695E-8</v>
      </c>
      <c r="Z82" s="83">
        <f t="shared" si="77"/>
        <v>1.0193050193050191E-6</v>
      </c>
      <c r="AA82" s="83">
        <f t="shared" si="78"/>
        <v>1.0193050193050192E-15</v>
      </c>
      <c r="AB82" s="131">
        <f t="shared" si="79"/>
        <v>17.050127017519717</v>
      </c>
    </row>
    <row r="83" spans="1:28">
      <c r="A83" s="44" t="s">
        <v>720</v>
      </c>
      <c r="AB83" s="200"/>
    </row>
    <row r="84" spans="1:28">
      <c r="A84" s="5" t="s">
        <v>628</v>
      </c>
      <c r="B84">
        <v>4.5</v>
      </c>
      <c r="C84">
        <v>2</v>
      </c>
      <c r="D84">
        <v>0.38200000000000001</v>
      </c>
      <c r="F84">
        <v>0.11</v>
      </c>
      <c r="H84" s="83">
        <f>B84*charco2yoll</f>
        <v>2.9200153204633203E-6</v>
      </c>
      <c r="I84" s="83">
        <f>D84*NOx_YOLL_Oxidant_charfact/0.62</f>
        <v>2.1928801779508849E-6</v>
      </c>
      <c r="J84" s="83">
        <f>F84*PM2.5_YOLL_charfact</f>
        <v>3.2567254270146715E-4</v>
      </c>
      <c r="L84" s="83">
        <f>CO2_malnutrition_charfact*B84</f>
        <v>1.0763861003861002E-5</v>
      </c>
      <c r="M84" s="83">
        <f>CO2_workingcapacity_charfact*B84</f>
        <v>5.2473822393822384E-6</v>
      </c>
      <c r="N84" s="83">
        <f>CO2_diarrhea_charfact*B84</f>
        <v>7.1759073359073361E-8</v>
      </c>
      <c r="O84" s="83">
        <f>PM2.5_asthmacases_charfact*F84</f>
        <v>5.3127359999999993E-6</v>
      </c>
      <c r="P84" s="83">
        <f>PM2.5_COPD_charfact*F84</f>
        <v>4.1469999999999997E-7</v>
      </c>
      <c r="Q84" s="83">
        <f>CO2_crop_charfact*B84</f>
        <v>4.9067544855780146E-2</v>
      </c>
      <c r="R84" s="83">
        <f>charnoxcrop/0.62*D84</f>
        <v>0.45367144731484416</v>
      </c>
      <c r="S84" s="83">
        <f>charco2woodgw*B84</f>
        <v>0</v>
      </c>
      <c r="T84" s="83">
        <f>NOx_wood_oxidantcharfact/0.62*D84</f>
        <v>3.5159537166900422E-2</v>
      </c>
      <c r="U84" s="83">
        <f>CO2_fruitandveg_charfact*B84</f>
        <v>5.8765932318873481E-3</v>
      </c>
      <c r="V84" s="83">
        <f>CO2_meatandfish_charfact*B84</f>
        <v>2.3150215761980467E-3</v>
      </c>
      <c r="W84" s="83">
        <f>CO2_drinkingwater_charfact*B84</f>
        <v>0.28255135135135134</v>
      </c>
      <c r="X84" s="83">
        <f>CO2_irrigationwater_charfact*B84</f>
        <v>0.56510270270270269</v>
      </c>
      <c r="Y84" s="83">
        <f>CO2_housing_charfact*B84</f>
        <v>8.9698841698841695E-8</v>
      </c>
      <c r="Z84" s="83">
        <f>CO2_separations_charfact*B84</f>
        <v>1.0193050193050191E-6</v>
      </c>
      <c r="AA84" s="83">
        <f>CO2_NEX_charfact*B84</f>
        <v>1.0193050193050192E-15</v>
      </c>
      <c r="AB84" s="131">
        <f>(H84+I84+J84+K84)*YOLLvalue+L84*malnutrition+M84*working_capacity+N84*diarrhea+O84*asthmacasesvalue+P84*COPDvalue+(Q84+R84)*cropvalue+(S84+T84)*woodvalue+U84*Fruitandveg_value+V84*fishandmeatvalue+W84*drinkingwatervalue+X84*irrigationwatervalue+Y84*housingvalue+Z84*migrationvalue+AA84*speciesvalue</f>
        <v>17.116365166878921</v>
      </c>
    </row>
    <row r="85" spans="1:28">
      <c r="A85" s="5" t="s">
        <v>611</v>
      </c>
      <c r="B85">
        <v>4.5</v>
      </c>
      <c r="C85">
        <v>2</v>
      </c>
      <c r="D85">
        <v>0.45700000000000002</v>
      </c>
      <c r="F85">
        <v>0.11</v>
      </c>
      <c r="H85" s="83">
        <f>B85*charco2yoll</f>
        <v>2.9200153204633203E-6</v>
      </c>
      <c r="I85" s="83">
        <f>D85*NOx_YOLL_Oxidant_charfact/0.62</f>
        <v>2.6234194799045924E-6</v>
      </c>
      <c r="J85" s="83">
        <f>F85*PM2.5_YOLL_charfact</f>
        <v>3.2567254270146715E-4</v>
      </c>
      <c r="L85" s="83">
        <f>CO2_malnutrition_charfact*B85</f>
        <v>1.0763861003861002E-5</v>
      </c>
      <c r="M85" s="83">
        <f>CO2_workingcapacity_charfact*B85</f>
        <v>5.2473822393822384E-6</v>
      </c>
      <c r="N85" s="83">
        <f>CO2_diarrhea_charfact*B85</f>
        <v>7.1759073359073361E-8</v>
      </c>
      <c r="O85" s="83">
        <f>PM2.5_asthmacases_charfact*F85</f>
        <v>5.3127359999999993E-6</v>
      </c>
      <c r="P85" s="83">
        <f>PM2.5_COPD_charfact*F85</f>
        <v>4.1469999999999997E-7</v>
      </c>
      <c r="Q85" s="83">
        <f>CO2_crop_charfact*B85</f>
        <v>4.9067544855780146E-2</v>
      </c>
      <c r="R85" s="83">
        <f>charnoxcrop/0.62*D85</f>
        <v>0.54274306655205173</v>
      </c>
      <c r="S85" s="83">
        <f>charco2woodgw*B85</f>
        <v>0</v>
      </c>
      <c r="T85" s="83">
        <f>NOx_wood_oxidantcharfact/0.62*D85</f>
        <v>4.2062587657784013E-2</v>
      </c>
      <c r="U85" s="83">
        <f>CO2_fruitandveg_charfact*B85</f>
        <v>5.8765932318873481E-3</v>
      </c>
      <c r="V85" s="83">
        <f>CO2_meatandfish_charfact*B85</f>
        <v>2.3150215761980467E-3</v>
      </c>
      <c r="W85" s="83">
        <f>CO2_drinkingwater_charfact*B85</f>
        <v>0.28255135135135134</v>
      </c>
      <c r="X85" s="83">
        <f>CO2_irrigationwater_charfact*B85</f>
        <v>0.56510270270270269</v>
      </c>
      <c r="Y85" s="83">
        <f>CO2_housing_charfact*B85</f>
        <v>8.9698841698841695E-8</v>
      </c>
      <c r="Z85" s="83">
        <f>CO2_separations_charfact*B85</f>
        <v>1.0193050193050191E-6</v>
      </c>
      <c r="AA85" s="83">
        <f>CO2_NEX_charfact*B85</f>
        <v>1.0193050193050192E-15</v>
      </c>
      <c r="AB85" s="131">
        <f>(H85+I85+J85+K85)*YOLLvalue+L85*malnutrition+M85*working_capacity+N85*diarrhea+O85*asthmacasesvalue+P85*COPDvalue+(Q85+R85)*cropvalue+(S85+T85)*woodvalue+U85*Fruitandveg_value+V85*fishandmeatvalue+W85*drinkingwatervalue+X85*irrigationwatervalue+Y85*housingvalue+Z85*migrationvalue+AA85*speciesvalue</f>
        <v>17.15776401022843</v>
      </c>
    </row>
    <row r="86" spans="1:28">
      <c r="A86" s="44" t="s">
        <v>721</v>
      </c>
      <c r="AB86" s="200"/>
    </row>
    <row r="87" spans="1:28">
      <c r="A87" t="s">
        <v>235</v>
      </c>
      <c r="B87">
        <v>4.5</v>
      </c>
      <c r="C87">
        <v>2</v>
      </c>
      <c r="D87">
        <v>0.44</v>
      </c>
      <c r="E87">
        <v>2</v>
      </c>
      <c r="F87">
        <v>0.11</v>
      </c>
      <c r="H87" s="83">
        <f t="shared" ref="H87:H95" si="80">B87*charco2yoll</f>
        <v>2.9200153204633203E-6</v>
      </c>
      <c r="I87" s="83">
        <f t="shared" ref="I87:I95" si="81">D87*NOx_YOLL_Oxidant_charfact/0.62</f>
        <v>2.5258305714617525E-6</v>
      </c>
      <c r="J87" s="83">
        <f t="shared" ref="J87:J95" si="82">F87*PM2.5_YOLL_charfact</f>
        <v>3.2567254270146715E-4</v>
      </c>
      <c r="L87" s="83">
        <f t="shared" ref="L87:L95" si="83">CO2_malnutrition_charfact*B87</f>
        <v>1.0763861003861002E-5</v>
      </c>
      <c r="M87" s="83">
        <f t="shared" ref="M87:M95" si="84">CO2_workingcapacity_charfact*B87</f>
        <v>5.2473822393822384E-6</v>
      </c>
      <c r="N87" s="83">
        <f t="shared" ref="N87:N95" si="85">CO2_diarrhea_charfact*B87</f>
        <v>7.1759073359073361E-8</v>
      </c>
      <c r="O87" s="83">
        <f t="shared" ref="O87:O95" si="86">PM2.5_asthmacases_charfact*F87</f>
        <v>5.3127359999999993E-6</v>
      </c>
      <c r="P87" s="83">
        <f t="shared" ref="P87:P95" si="87">PM2.5_COPD_charfact*F87</f>
        <v>4.1469999999999997E-7</v>
      </c>
      <c r="Q87" s="83">
        <f t="shared" ref="Q87:Q95" si="88">CO2_crop_charfact*B87</f>
        <v>4.9067544855780146E-2</v>
      </c>
      <c r="R87" s="83">
        <f t="shared" ref="R87:R95" si="89">charnoxcrop/0.62*D87</f>
        <v>0.52255349952495134</v>
      </c>
      <c r="S87" s="83">
        <f t="shared" ref="S87:S95" si="90">charco2woodgw*B87</f>
        <v>0</v>
      </c>
      <c r="T87" s="83">
        <f t="shared" ref="T87:T95" si="91">NOx_wood_oxidantcharfact/0.62*D87</f>
        <v>4.0497896213183733E-2</v>
      </c>
      <c r="U87" s="83">
        <f t="shared" ref="U87:U95" si="92">CO2_fruitandveg_charfact*B87</f>
        <v>5.8765932318873481E-3</v>
      </c>
      <c r="V87" s="83">
        <f t="shared" ref="V87:V95" si="93">CO2_meatandfish_charfact*B87</f>
        <v>2.3150215761980467E-3</v>
      </c>
      <c r="W87" s="83">
        <f t="shared" ref="W87:W95" si="94">CO2_drinkingwater_charfact*B87</f>
        <v>0.28255135135135134</v>
      </c>
      <c r="X87" s="83">
        <f t="shared" ref="X87:X95" si="95">CO2_irrigationwater_charfact*B87</f>
        <v>0.56510270270270269</v>
      </c>
      <c r="Y87" s="83">
        <f t="shared" ref="Y87:Y95" si="96">CO2_housing_charfact*B87</f>
        <v>8.9698841698841695E-8</v>
      </c>
      <c r="Z87" s="83">
        <f t="shared" ref="Z87:Z95" si="97">CO2_separations_charfact*B87</f>
        <v>1.0193050193050191E-6</v>
      </c>
      <c r="AA87" s="83">
        <f t="shared" ref="AA87:AA95" si="98">CO2_NEX_charfact*B87</f>
        <v>1.0193050193050192E-15</v>
      </c>
      <c r="AB87" s="131">
        <f t="shared" ref="AB87:AB95" si="99">(H87+I87+J87+K87)*YOLLvalue+L87*malnutrition+M87*working_capacity+N87*diarrhea+O87*asthmacasesvalue+P87*COPDvalue+(Q87+R87)*cropvalue+(S87+T87)*woodvalue+U87*Fruitandveg_value+V87*fishandmeatvalue+W87*drinkingwatervalue+X87*irrigationwatervalue+Y87*housingvalue+Z87*migrationvalue+AA87*speciesvalue</f>
        <v>17.148380272402541</v>
      </c>
    </row>
    <row r="88" spans="1:28">
      <c r="A88" t="s">
        <v>236</v>
      </c>
      <c r="B88">
        <v>4.5</v>
      </c>
      <c r="C88">
        <v>2</v>
      </c>
      <c r="D88">
        <v>0.59</v>
      </c>
      <c r="E88">
        <v>1.3</v>
      </c>
      <c r="F88">
        <v>0.11</v>
      </c>
      <c r="H88" s="83">
        <f t="shared" si="80"/>
        <v>2.9200153204633203E-6</v>
      </c>
      <c r="I88" s="83">
        <f t="shared" si="81"/>
        <v>3.3869091753691675E-6</v>
      </c>
      <c r="J88" s="83">
        <f t="shared" si="82"/>
        <v>3.2567254270146715E-4</v>
      </c>
      <c r="L88" s="83">
        <f t="shared" si="83"/>
        <v>1.0763861003861002E-5</v>
      </c>
      <c r="M88" s="83">
        <f t="shared" si="84"/>
        <v>5.2473822393822384E-6</v>
      </c>
      <c r="N88" s="83">
        <f t="shared" si="85"/>
        <v>7.1759073359073361E-8</v>
      </c>
      <c r="O88" s="83">
        <f t="shared" si="86"/>
        <v>5.3127359999999993E-6</v>
      </c>
      <c r="P88" s="83">
        <f t="shared" si="87"/>
        <v>4.1469999999999997E-7</v>
      </c>
      <c r="Q88" s="83">
        <f t="shared" si="88"/>
        <v>4.9067544855780146E-2</v>
      </c>
      <c r="R88" s="83">
        <f t="shared" si="89"/>
        <v>0.70069673799936649</v>
      </c>
      <c r="S88" s="83">
        <f t="shared" si="90"/>
        <v>0</v>
      </c>
      <c r="T88" s="83">
        <f t="shared" si="91"/>
        <v>5.4303997194950909E-2</v>
      </c>
      <c r="U88" s="83">
        <f t="shared" si="92"/>
        <v>5.8765932318873481E-3</v>
      </c>
      <c r="V88" s="83">
        <f t="shared" si="93"/>
        <v>2.3150215761980467E-3</v>
      </c>
      <c r="W88" s="83">
        <f t="shared" si="94"/>
        <v>0.28255135135135134</v>
      </c>
      <c r="X88" s="83">
        <f t="shared" si="95"/>
        <v>0.56510270270270269</v>
      </c>
      <c r="Y88" s="83">
        <f t="shared" si="96"/>
        <v>8.9698841698841695E-8</v>
      </c>
      <c r="Z88" s="83">
        <f t="shared" si="97"/>
        <v>1.0193050193050191E-6</v>
      </c>
      <c r="AA88" s="83">
        <f t="shared" si="98"/>
        <v>1.0193050193050192E-15</v>
      </c>
      <c r="AB88" s="131">
        <f t="shared" si="99"/>
        <v>17.231177959101558</v>
      </c>
    </row>
    <row r="89" spans="1:28">
      <c r="A89" t="s">
        <v>237</v>
      </c>
      <c r="B89">
        <v>4.5</v>
      </c>
      <c r="C89">
        <v>2</v>
      </c>
      <c r="D89">
        <v>0.77</v>
      </c>
      <c r="F89">
        <v>0.11</v>
      </c>
      <c r="H89" s="83">
        <f t="shared" si="80"/>
        <v>2.9200153204633203E-6</v>
      </c>
      <c r="I89" s="83">
        <f t="shared" si="81"/>
        <v>4.4202035000580667E-6</v>
      </c>
      <c r="J89" s="83">
        <f t="shared" si="82"/>
        <v>3.2567254270146715E-4</v>
      </c>
      <c r="L89" s="83">
        <f t="shared" si="83"/>
        <v>1.0763861003861002E-5</v>
      </c>
      <c r="M89" s="83">
        <f t="shared" si="84"/>
        <v>5.2473822393822384E-6</v>
      </c>
      <c r="N89" s="83">
        <f t="shared" si="85"/>
        <v>7.1759073359073361E-8</v>
      </c>
      <c r="O89" s="83">
        <f t="shared" si="86"/>
        <v>5.3127359999999993E-6</v>
      </c>
      <c r="P89" s="83">
        <f t="shared" si="87"/>
        <v>4.1469999999999997E-7</v>
      </c>
      <c r="Q89" s="83">
        <f t="shared" si="88"/>
        <v>4.9067544855780146E-2</v>
      </c>
      <c r="R89" s="83">
        <f t="shared" si="89"/>
        <v>0.91446862416866492</v>
      </c>
      <c r="S89" s="83">
        <f t="shared" si="90"/>
        <v>0</v>
      </c>
      <c r="T89" s="83">
        <f t="shared" si="91"/>
        <v>7.0871318373071535E-2</v>
      </c>
      <c r="U89" s="83">
        <f t="shared" si="92"/>
        <v>5.8765932318873481E-3</v>
      </c>
      <c r="V89" s="83">
        <f t="shared" si="93"/>
        <v>2.3150215761980467E-3</v>
      </c>
      <c r="W89" s="83">
        <f t="shared" si="94"/>
        <v>0.28255135135135134</v>
      </c>
      <c r="X89" s="83">
        <f t="shared" si="95"/>
        <v>0.56510270270270269</v>
      </c>
      <c r="Y89" s="83">
        <f t="shared" si="96"/>
        <v>8.9698841698841695E-8</v>
      </c>
      <c r="Z89" s="83">
        <f t="shared" si="97"/>
        <v>1.0193050193050191E-6</v>
      </c>
      <c r="AA89" s="83">
        <f t="shared" si="98"/>
        <v>1.0193050193050192E-15</v>
      </c>
      <c r="AB89" s="131">
        <f t="shared" si="99"/>
        <v>17.330535183140373</v>
      </c>
    </row>
    <row r="90" spans="1:28">
      <c r="A90" t="s">
        <v>703</v>
      </c>
      <c r="B90">
        <v>4.5</v>
      </c>
      <c r="C90">
        <v>2</v>
      </c>
      <c r="D90">
        <v>0.54800000000000004</v>
      </c>
      <c r="F90">
        <v>0.11</v>
      </c>
      <c r="H90" s="83">
        <f t="shared" si="80"/>
        <v>2.9200153204633203E-6</v>
      </c>
      <c r="I90" s="83">
        <f t="shared" si="81"/>
        <v>3.1458071662750917E-6</v>
      </c>
      <c r="J90" s="83">
        <f t="shared" si="82"/>
        <v>3.2567254270146715E-4</v>
      </c>
      <c r="L90" s="83">
        <f t="shared" si="83"/>
        <v>1.0763861003861002E-5</v>
      </c>
      <c r="M90" s="83">
        <f t="shared" si="84"/>
        <v>5.2473822393822384E-6</v>
      </c>
      <c r="N90" s="83">
        <f t="shared" si="85"/>
        <v>7.1759073359073361E-8</v>
      </c>
      <c r="O90" s="83">
        <f t="shared" si="86"/>
        <v>5.3127359999999993E-6</v>
      </c>
      <c r="P90" s="83">
        <f t="shared" si="87"/>
        <v>4.1469999999999997E-7</v>
      </c>
      <c r="Q90" s="83">
        <f t="shared" si="88"/>
        <v>4.9067544855780146E-2</v>
      </c>
      <c r="R90" s="83">
        <f t="shared" si="89"/>
        <v>0.65081663122653033</v>
      </c>
      <c r="S90" s="83">
        <f t="shared" si="90"/>
        <v>0</v>
      </c>
      <c r="T90" s="83">
        <f t="shared" si="91"/>
        <v>5.0438288920056105E-2</v>
      </c>
      <c r="U90" s="83">
        <f t="shared" si="92"/>
        <v>5.8765932318873481E-3</v>
      </c>
      <c r="V90" s="83">
        <f t="shared" si="93"/>
        <v>2.3150215761980467E-3</v>
      </c>
      <c r="W90" s="83">
        <f t="shared" si="94"/>
        <v>0.28255135135135134</v>
      </c>
      <c r="X90" s="83">
        <f t="shared" si="95"/>
        <v>0.56510270270270269</v>
      </c>
      <c r="Y90" s="83">
        <f t="shared" si="96"/>
        <v>8.9698841698841695E-8</v>
      </c>
      <c r="Z90" s="83">
        <f t="shared" si="97"/>
        <v>1.0193050193050191E-6</v>
      </c>
      <c r="AA90" s="83">
        <f t="shared" si="98"/>
        <v>1.0193050193050192E-15</v>
      </c>
      <c r="AB90" s="131">
        <f t="shared" si="99"/>
        <v>17.207994606825835</v>
      </c>
    </row>
    <row r="91" spans="1:28">
      <c r="A91" t="s">
        <v>626</v>
      </c>
      <c r="B91">
        <v>4.5</v>
      </c>
      <c r="C91">
        <v>2</v>
      </c>
      <c r="D91">
        <v>0.41399999999999998</v>
      </c>
      <c r="F91">
        <v>0.11</v>
      </c>
      <c r="H91" s="83">
        <f t="shared" si="80"/>
        <v>2.9200153204633203E-6</v>
      </c>
      <c r="I91" s="83">
        <f t="shared" si="81"/>
        <v>2.3765769467844667E-6</v>
      </c>
      <c r="J91" s="83">
        <f t="shared" si="82"/>
        <v>3.2567254270146715E-4</v>
      </c>
      <c r="L91" s="83">
        <f t="shared" si="83"/>
        <v>1.0763861003861002E-5</v>
      </c>
      <c r="M91" s="83">
        <f t="shared" si="84"/>
        <v>5.2473822393822384E-6</v>
      </c>
      <c r="N91" s="83">
        <f t="shared" si="85"/>
        <v>7.1759073359073361E-8</v>
      </c>
      <c r="O91" s="83">
        <f t="shared" si="86"/>
        <v>5.3127359999999993E-6</v>
      </c>
      <c r="P91" s="83">
        <f t="shared" si="87"/>
        <v>4.1469999999999997E-7</v>
      </c>
      <c r="Q91" s="83">
        <f t="shared" si="88"/>
        <v>4.9067544855780146E-2</v>
      </c>
      <c r="R91" s="83">
        <f t="shared" si="89"/>
        <v>0.49167533818938602</v>
      </c>
      <c r="S91" s="83">
        <f t="shared" si="90"/>
        <v>0</v>
      </c>
      <c r="T91" s="83">
        <f t="shared" si="91"/>
        <v>3.8104838709677416E-2</v>
      </c>
      <c r="U91" s="83">
        <f t="shared" si="92"/>
        <v>5.8765932318873481E-3</v>
      </c>
      <c r="V91" s="83">
        <f t="shared" si="93"/>
        <v>2.3150215761980467E-3</v>
      </c>
      <c r="W91" s="83">
        <f t="shared" si="94"/>
        <v>0.28255135135135134</v>
      </c>
      <c r="X91" s="83">
        <f t="shared" si="95"/>
        <v>0.56510270270270269</v>
      </c>
      <c r="Y91" s="83">
        <f t="shared" si="96"/>
        <v>8.9698841698841695E-8</v>
      </c>
      <c r="Z91" s="83">
        <f t="shared" si="97"/>
        <v>1.0193050193050191E-6</v>
      </c>
      <c r="AA91" s="83">
        <f t="shared" si="98"/>
        <v>1.0193050193050192E-15</v>
      </c>
      <c r="AB91" s="131">
        <f t="shared" si="99"/>
        <v>17.134028673374715</v>
      </c>
    </row>
    <row r="92" spans="1:28">
      <c r="A92" t="s">
        <v>704</v>
      </c>
      <c r="B92">
        <v>4.5</v>
      </c>
      <c r="C92">
        <v>2</v>
      </c>
      <c r="D92">
        <v>0.36399999999999999</v>
      </c>
      <c r="F92">
        <v>0.11</v>
      </c>
      <c r="H92" s="83">
        <f t="shared" si="80"/>
        <v>2.9200153204633203E-6</v>
      </c>
      <c r="I92" s="83">
        <f t="shared" si="81"/>
        <v>2.089550745481995E-6</v>
      </c>
      <c r="J92" s="83">
        <f t="shared" si="82"/>
        <v>3.2567254270146715E-4</v>
      </c>
      <c r="L92" s="83">
        <f t="shared" si="83"/>
        <v>1.0763861003861002E-5</v>
      </c>
      <c r="M92" s="83">
        <f t="shared" si="84"/>
        <v>5.2473822393822384E-6</v>
      </c>
      <c r="N92" s="83">
        <f t="shared" si="85"/>
        <v>7.1759073359073361E-8</v>
      </c>
      <c r="O92" s="83">
        <f t="shared" si="86"/>
        <v>5.3127359999999993E-6</v>
      </c>
      <c r="P92" s="83">
        <f t="shared" si="87"/>
        <v>4.1469999999999997E-7</v>
      </c>
      <c r="Q92" s="83">
        <f t="shared" si="88"/>
        <v>4.9067544855780146E-2</v>
      </c>
      <c r="R92" s="83">
        <f t="shared" si="89"/>
        <v>0.43229425869791427</v>
      </c>
      <c r="S92" s="83">
        <f t="shared" si="90"/>
        <v>0</v>
      </c>
      <c r="T92" s="83">
        <f t="shared" si="91"/>
        <v>3.3502805049088362E-2</v>
      </c>
      <c r="U92" s="83">
        <f t="shared" si="92"/>
        <v>5.8765932318873481E-3</v>
      </c>
      <c r="V92" s="83">
        <f t="shared" si="93"/>
        <v>2.3150215761980467E-3</v>
      </c>
      <c r="W92" s="83">
        <f t="shared" si="94"/>
        <v>0.28255135135135134</v>
      </c>
      <c r="X92" s="83">
        <f t="shared" si="95"/>
        <v>0.56510270270270269</v>
      </c>
      <c r="Y92" s="83">
        <f t="shared" si="96"/>
        <v>8.9698841698841695E-8</v>
      </c>
      <c r="Z92" s="83">
        <f t="shared" si="97"/>
        <v>1.0193050193050191E-6</v>
      </c>
      <c r="AA92" s="83">
        <f t="shared" si="98"/>
        <v>1.0193050193050192E-15</v>
      </c>
      <c r="AB92" s="131">
        <f t="shared" si="99"/>
        <v>17.106429444475044</v>
      </c>
    </row>
    <row r="93" spans="1:28">
      <c r="A93" t="s">
        <v>630</v>
      </c>
      <c r="B93">
        <v>4.5</v>
      </c>
      <c r="C93">
        <v>2</v>
      </c>
      <c r="D93">
        <v>0.57199999999999995</v>
      </c>
      <c r="F93">
        <v>0.11</v>
      </c>
      <c r="H93" s="83">
        <f t="shared" si="80"/>
        <v>2.9200153204633203E-6</v>
      </c>
      <c r="I93" s="83">
        <f t="shared" si="81"/>
        <v>3.2835797429002772E-6</v>
      </c>
      <c r="J93" s="83">
        <f t="shared" si="82"/>
        <v>3.2567254270146715E-4</v>
      </c>
      <c r="L93" s="83">
        <f t="shared" si="83"/>
        <v>1.0763861003861002E-5</v>
      </c>
      <c r="M93" s="83">
        <f t="shared" si="84"/>
        <v>5.2473822393822384E-6</v>
      </c>
      <c r="N93" s="83">
        <f t="shared" si="85"/>
        <v>7.1759073359073361E-8</v>
      </c>
      <c r="O93" s="83">
        <f t="shared" si="86"/>
        <v>5.3127359999999993E-6</v>
      </c>
      <c r="P93" s="83">
        <f t="shared" si="87"/>
        <v>4.1469999999999997E-7</v>
      </c>
      <c r="Q93" s="83">
        <f t="shared" si="88"/>
        <v>4.9067544855780146E-2</v>
      </c>
      <c r="R93" s="83">
        <f t="shared" si="89"/>
        <v>0.67931954938243666</v>
      </c>
      <c r="S93" s="83">
        <f t="shared" si="90"/>
        <v>0</v>
      </c>
      <c r="T93" s="83">
        <f t="shared" si="91"/>
        <v>5.264726507713885E-2</v>
      </c>
      <c r="U93" s="83">
        <f t="shared" si="92"/>
        <v>5.8765932318873481E-3</v>
      </c>
      <c r="V93" s="83">
        <f t="shared" si="93"/>
        <v>2.3150215761980467E-3</v>
      </c>
      <c r="W93" s="83">
        <f t="shared" si="94"/>
        <v>0.28255135135135134</v>
      </c>
      <c r="X93" s="83">
        <f t="shared" si="95"/>
        <v>0.56510270270270269</v>
      </c>
      <c r="Y93" s="83">
        <f t="shared" si="96"/>
        <v>8.9698841698841695E-8</v>
      </c>
      <c r="Z93" s="83">
        <f t="shared" si="97"/>
        <v>1.0193050193050191E-6</v>
      </c>
      <c r="AA93" s="83">
        <f t="shared" si="98"/>
        <v>1.0193050193050192E-15</v>
      </c>
      <c r="AB93" s="131">
        <f t="shared" si="99"/>
        <v>17.221242236697677</v>
      </c>
    </row>
    <row r="94" spans="1:28">
      <c r="A94" t="s">
        <v>631</v>
      </c>
      <c r="B94">
        <v>4.5</v>
      </c>
      <c r="C94">
        <v>2</v>
      </c>
      <c r="D94">
        <v>0.59899999999999998</v>
      </c>
      <c r="F94">
        <v>0.11</v>
      </c>
      <c r="H94" s="83">
        <f t="shared" si="80"/>
        <v>2.9200153204633203E-6</v>
      </c>
      <c r="I94" s="83">
        <f t="shared" si="81"/>
        <v>3.438573891603612E-6</v>
      </c>
      <c r="J94" s="83">
        <f t="shared" si="82"/>
        <v>3.2567254270146715E-4</v>
      </c>
      <c r="L94" s="83">
        <f t="shared" si="83"/>
        <v>1.0763861003861002E-5</v>
      </c>
      <c r="M94" s="83">
        <f t="shared" si="84"/>
        <v>5.2473822393822384E-6</v>
      </c>
      <c r="N94" s="83">
        <f t="shared" si="85"/>
        <v>7.1759073359073361E-8</v>
      </c>
      <c r="O94" s="83">
        <f t="shared" si="86"/>
        <v>5.3127359999999993E-6</v>
      </c>
      <c r="P94" s="83">
        <f t="shared" si="87"/>
        <v>4.1469999999999997E-7</v>
      </c>
      <c r="Q94" s="83">
        <f t="shared" si="88"/>
        <v>4.9067544855780146E-2</v>
      </c>
      <c r="R94" s="83">
        <f t="shared" si="89"/>
        <v>0.71138533230783152</v>
      </c>
      <c r="S94" s="83">
        <f t="shared" si="90"/>
        <v>0</v>
      </c>
      <c r="T94" s="83">
        <f t="shared" si="91"/>
        <v>5.5132363253856939E-2</v>
      </c>
      <c r="U94" s="83">
        <f t="shared" si="92"/>
        <v>5.8765932318873481E-3</v>
      </c>
      <c r="V94" s="83">
        <f t="shared" si="93"/>
        <v>2.3150215761980467E-3</v>
      </c>
      <c r="W94" s="83">
        <f t="shared" si="94"/>
        <v>0.28255135135135134</v>
      </c>
      <c r="X94" s="83">
        <f t="shared" si="95"/>
        <v>0.56510270270270269</v>
      </c>
      <c r="Y94" s="83">
        <f t="shared" si="96"/>
        <v>8.9698841698841695E-8</v>
      </c>
      <c r="Z94" s="83">
        <f t="shared" si="97"/>
        <v>1.0193050193050191E-6</v>
      </c>
      <c r="AA94" s="83">
        <f t="shared" si="98"/>
        <v>1.0193050193050192E-15</v>
      </c>
      <c r="AB94" s="131">
        <f t="shared" si="99"/>
        <v>17.236145820303495</v>
      </c>
    </row>
    <row r="95" spans="1:28">
      <c r="A95" t="s">
        <v>705</v>
      </c>
      <c r="B95">
        <v>4.5</v>
      </c>
      <c r="C95">
        <v>2</v>
      </c>
      <c r="D95">
        <v>0.32300000000000001</v>
      </c>
      <c r="F95">
        <v>0.11</v>
      </c>
      <c r="H95" s="83">
        <f t="shared" si="80"/>
        <v>2.9200153204633203E-6</v>
      </c>
      <c r="I95" s="83">
        <f t="shared" si="81"/>
        <v>1.8541892604139681E-6</v>
      </c>
      <c r="J95" s="83">
        <f t="shared" si="82"/>
        <v>3.2567254270146715E-4</v>
      </c>
      <c r="L95" s="83">
        <f t="shared" si="83"/>
        <v>1.0763861003861002E-5</v>
      </c>
      <c r="M95" s="83">
        <f t="shared" si="84"/>
        <v>5.2473822393822384E-6</v>
      </c>
      <c r="N95" s="83">
        <f t="shared" si="85"/>
        <v>7.1759073359073361E-8</v>
      </c>
      <c r="O95" s="83">
        <f t="shared" si="86"/>
        <v>5.3127359999999993E-6</v>
      </c>
      <c r="P95" s="83">
        <f t="shared" si="87"/>
        <v>4.1469999999999997E-7</v>
      </c>
      <c r="Q95" s="83">
        <f t="shared" si="88"/>
        <v>4.9067544855780146E-2</v>
      </c>
      <c r="R95" s="83">
        <f t="shared" si="89"/>
        <v>0.38360177351490748</v>
      </c>
      <c r="S95" s="83">
        <f t="shared" si="90"/>
        <v>0</v>
      </c>
      <c r="T95" s="83">
        <f t="shared" si="91"/>
        <v>2.9729137447405331E-2</v>
      </c>
      <c r="U95" s="83">
        <f t="shared" si="92"/>
        <v>5.8765932318873481E-3</v>
      </c>
      <c r="V95" s="83">
        <f t="shared" si="93"/>
        <v>2.3150215761980467E-3</v>
      </c>
      <c r="W95" s="83">
        <f t="shared" si="94"/>
        <v>0.28255135135135134</v>
      </c>
      <c r="X95" s="83">
        <f t="shared" si="95"/>
        <v>0.56510270270270269</v>
      </c>
      <c r="Y95" s="83">
        <f t="shared" si="96"/>
        <v>8.9698841698841695E-8</v>
      </c>
      <c r="Z95" s="83">
        <f t="shared" si="97"/>
        <v>1.0193050193050191E-6</v>
      </c>
      <c r="AA95" s="83">
        <f t="shared" si="98"/>
        <v>1.0193050193050192E-15</v>
      </c>
      <c r="AB95" s="131">
        <f t="shared" si="99"/>
        <v>17.08379807677731</v>
      </c>
    </row>
    <row r="96" spans="1:28">
      <c r="A96" s="44" t="s">
        <v>722</v>
      </c>
      <c r="AB96" s="200"/>
    </row>
    <row r="97" spans="1:29">
      <c r="A97" s="5" t="s">
        <v>706</v>
      </c>
      <c r="B97">
        <v>4.5</v>
      </c>
      <c r="C97">
        <v>2</v>
      </c>
      <c r="D97">
        <v>0.36</v>
      </c>
      <c r="F97">
        <v>0.11</v>
      </c>
      <c r="H97" s="83">
        <f t="shared" ref="H97:H107" si="100">B97*charco2yoll</f>
        <v>2.9200153204633203E-6</v>
      </c>
      <c r="I97" s="83">
        <f t="shared" ref="I97:I107" si="101">D97*NOx_YOLL_Oxidant_charfact/0.62</f>
        <v>2.0665886493777971E-6</v>
      </c>
      <c r="J97" s="83">
        <f t="shared" ref="J97:J107" si="102">F97*PM2.5_YOLL_charfact</f>
        <v>3.2567254270146715E-4</v>
      </c>
      <c r="L97" s="83">
        <f t="shared" ref="L97:L107" si="103">CO2_malnutrition_charfact*B97</f>
        <v>1.0763861003861002E-5</v>
      </c>
      <c r="M97" s="83">
        <f t="shared" ref="M97:M107" si="104">CO2_workingcapacity_charfact*B97</f>
        <v>5.2473822393822384E-6</v>
      </c>
      <c r="N97" s="83">
        <f t="shared" ref="N97:N107" si="105">CO2_diarrhea_charfact*B97</f>
        <v>7.1759073359073361E-8</v>
      </c>
      <c r="O97" s="83">
        <f t="shared" ref="O97:O107" si="106">PM2.5_asthmacases_charfact*F97</f>
        <v>5.3127359999999993E-6</v>
      </c>
      <c r="P97" s="83">
        <f t="shared" ref="P97:P107" si="107">PM2.5_COPD_charfact*F97</f>
        <v>4.1469999999999997E-7</v>
      </c>
      <c r="Q97" s="83">
        <f t="shared" ref="Q97:Q107" si="108">CO2_crop_charfact*B97</f>
        <v>4.9067544855780146E-2</v>
      </c>
      <c r="R97" s="83">
        <f t="shared" ref="R97:R107" si="109">charnoxcrop/0.62*D97</f>
        <v>0.42754377233859653</v>
      </c>
      <c r="S97" s="83">
        <f t="shared" ref="S97:S107" si="110">charco2woodgw*B97</f>
        <v>0</v>
      </c>
      <c r="T97" s="83">
        <f t="shared" ref="T97:T107" si="111">NOx_wood_oxidantcharfact/0.62*D97</f>
        <v>3.3134642356241237E-2</v>
      </c>
      <c r="U97" s="83">
        <f t="shared" ref="U97:U107" si="112">CO2_fruitandveg_charfact*B97</f>
        <v>5.8765932318873481E-3</v>
      </c>
      <c r="V97" s="83">
        <f t="shared" ref="V97:V107" si="113">CO2_meatandfish_charfact*B97</f>
        <v>2.3150215761980467E-3</v>
      </c>
      <c r="W97" s="83">
        <f t="shared" ref="W97:W107" si="114">CO2_drinkingwater_charfact*B97</f>
        <v>0.28255135135135134</v>
      </c>
      <c r="X97" s="83">
        <f t="shared" ref="X97:X107" si="115">CO2_irrigationwater_charfact*B97</f>
        <v>0.56510270270270269</v>
      </c>
      <c r="Y97" s="83">
        <f t="shared" ref="Y97:Y107" si="116">CO2_housing_charfact*B97</f>
        <v>8.9698841698841695E-8</v>
      </c>
      <c r="Z97" s="83">
        <f t="shared" ref="Z97:Z107" si="117">CO2_separations_charfact*B97</f>
        <v>1.0193050193050191E-6</v>
      </c>
      <c r="AA97" s="83">
        <f t="shared" ref="AA97:AA107" si="118">CO2_NEX_charfact*B97</f>
        <v>1.0193050193050192E-15</v>
      </c>
      <c r="AB97" s="131">
        <f t="shared" ref="AB97:AB107" si="119">(H97+I97+J97+K97)*YOLLvalue+L97*malnutrition+M97*working_capacity+N97*diarrhea+O97*asthmacasesvalue+P97*COPDvalue+(Q97+R97)*cropvalue+(S97+T97)*woodvalue+U97*Fruitandveg_value+V97*fishandmeatvalue+W97*drinkingwatervalue+X97*irrigationwatervalue+Y97*housingvalue+Z97*migrationvalue+AA97*speciesvalue</f>
        <v>17.104221506163071</v>
      </c>
    </row>
    <row r="98" spans="1:29">
      <c r="A98" t="s">
        <v>238</v>
      </c>
      <c r="B98">
        <v>4.5</v>
      </c>
      <c r="C98">
        <v>2</v>
      </c>
      <c r="D98">
        <v>0.74</v>
      </c>
      <c r="F98">
        <v>0.11</v>
      </c>
      <c r="H98" s="83">
        <f t="shared" si="100"/>
        <v>2.9200153204633203E-6</v>
      </c>
      <c r="I98" s="83">
        <f t="shared" si="101"/>
        <v>4.247987779276583E-6</v>
      </c>
      <c r="J98" s="83">
        <f t="shared" si="102"/>
        <v>3.2567254270146715E-4</v>
      </c>
      <c r="L98" s="83">
        <f t="shared" si="103"/>
        <v>1.0763861003861002E-5</v>
      </c>
      <c r="M98" s="83">
        <f t="shared" si="104"/>
        <v>5.2473822393822384E-6</v>
      </c>
      <c r="N98" s="83">
        <f t="shared" si="105"/>
        <v>7.1759073359073361E-8</v>
      </c>
      <c r="O98" s="83">
        <f t="shared" si="106"/>
        <v>5.3127359999999993E-6</v>
      </c>
      <c r="P98" s="83">
        <f t="shared" si="107"/>
        <v>4.1469999999999997E-7</v>
      </c>
      <c r="Q98" s="83">
        <f t="shared" si="108"/>
        <v>4.9067544855780146E-2</v>
      </c>
      <c r="R98" s="83">
        <f t="shared" si="109"/>
        <v>0.87883997647378176</v>
      </c>
      <c r="S98" s="83">
        <f t="shared" si="110"/>
        <v>0</v>
      </c>
      <c r="T98" s="83">
        <f t="shared" si="111"/>
        <v>6.8110098176718092E-2</v>
      </c>
      <c r="U98" s="83">
        <f t="shared" si="112"/>
        <v>5.8765932318873481E-3</v>
      </c>
      <c r="V98" s="83">
        <f t="shared" si="113"/>
        <v>2.3150215761980467E-3</v>
      </c>
      <c r="W98" s="83">
        <f t="shared" si="114"/>
        <v>0.28255135135135134</v>
      </c>
      <c r="X98" s="83">
        <f t="shared" si="115"/>
        <v>0.56510270270270269</v>
      </c>
      <c r="Y98" s="83">
        <f t="shared" si="116"/>
        <v>8.9698841698841695E-8</v>
      </c>
      <c r="Z98" s="83">
        <f t="shared" si="117"/>
        <v>1.0193050193050191E-6</v>
      </c>
      <c r="AA98" s="83">
        <f t="shared" si="118"/>
        <v>1.0193050193050192E-15</v>
      </c>
      <c r="AB98" s="131">
        <f t="shared" si="119"/>
        <v>17.313975645800571</v>
      </c>
    </row>
    <row r="99" spans="1:29">
      <c r="A99" t="s">
        <v>239</v>
      </c>
      <c r="B99">
        <v>4.5</v>
      </c>
      <c r="C99">
        <v>2</v>
      </c>
      <c r="D99">
        <v>0.86</v>
      </c>
      <c r="F99">
        <v>0.11</v>
      </c>
      <c r="H99" s="83">
        <f t="shared" si="100"/>
        <v>2.9200153204633203E-6</v>
      </c>
      <c r="I99" s="83">
        <f t="shared" si="101"/>
        <v>4.9368506624025152E-6</v>
      </c>
      <c r="J99" s="83">
        <f t="shared" si="102"/>
        <v>3.2567254270146715E-4</v>
      </c>
      <c r="L99" s="83">
        <f t="shared" si="103"/>
        <v>1.0763861003861002E-5</v>
      </c>
      <c r="M99" s="83">
        <f t="shared" si="104"/>
        <v>5.2473822393822384E-6</v>
      </c>
      <c r="N99" s="83">
        <f t="shared" si="105"/>
        <v>7.1759073359073361E-8</v>
      </c>
      <c r="O99" s="83">
        <f t="shared" si="106"/>
        <v>5.3127359999999993E-6</v>
      </c>
      <c r="P99" s="83">
        <f t="shared" si="107"/>
        <v>4.1469999999999997E-7</v>
      </c>
      <c r="Q99" s="83">
        <f t="shared" si="108"/>
        <v>4.9067544855780146E-2</v>
      </c>
      <c r="R99" s="83">
        <f t="shared" si="109"/>
        <v>1.021354567253314</v>
      </c>
      <c r="S99" s="83">
        <f t="shared" si="110"/>
        <v>0</v>
      </c>
      <c r="T99" s="83">
        <f t="shared" si="111"/>
        <v>7.9154978962131833E-2</v>
      </c>
      <c r="U99" s="83">
        <f t="shared" si="112"/>
        <v>5.8765932318873481E-3</v>
      </c>
      <c r="V99" s="83">
        <f t="shared" si="113"/>
        <v>2.3150215761980467E-3</v>
      </c>
      <c r="W99" s="83">
        <f t="shared" si="114"/>
        <v>0.28255135135135134</v>
      </c>
      <c r="X99" s="83">
        <f t="shared" si="115"/>
        <v>0.56510270270270269</v>
      </c>
      <c r="Y99" s="83">
        <f t="shared" si="116"/>
        <v>8.9698841698841695E-8</v>
      </c>
      <c r="Z99" s="83">
        <f t="shared" si="117"/>
        <v>1.0193050193050191E-6</v>
      </c>
      <c r="AA99" s="83">
        <f t="shared" si="118"/>
        <v>1.0193050193050192E-15</v>
      </c>
      <c r="AB99" s="131">
        <f t="shared" si="119"/>
        <v>17.380213795159779</v>
      </c>
    </row>
    <row r="100" spans="1:29">
      <c r="A100" t="s">
        <v>240</v>
      </c>
      <c r="B100">
        <v>4.5</v>
      </c>
      <c r="C100">
        <v>2</v>
      </c>
      <c r="D100">
        <v>0.9</v>
      </c>
      <c r="F100">
        <v>0.11</v>
      </c>
      <c r="H100" s="83">
        <f t="shared" si="100"/>
        <v>2.9200153204633203E-6</v>
      </c>
      <c r="I100" s="83">
        <f t="shared" si="101"/>
        <v>5.1664716234444929E-6</v>
      </c>
      <c r="J100" s="83">
        <f t="shared" si="102"/>
        <v>3.2567254270146715E-4</v>
      </c>
      <c r="L100" s="83">
        <f t="shared" si="103"/>
        <v>1.0763861003861002E-5</v>
      </c>
      <c r="M100" s="83">
        <f t="shared" si="104"/>
        <v>5.2473822393822384E-6</v>
      </c>
      <c r="N100" s="83">
        <f t="shared" si="105"/>
        <v>7.1759073359073361E-8</v>
      </c>
      <c r="O100" s="83">
        <f t="shared" si="106"/>
        <v>5.3127359999999993E-6</v>
      </c>
      <c r="P100" s="83">
        <f t="shared" si="107"/>
        <v>4.1469999999999997E-7</v>
      </c>
      <c r="Q100" s="83">
        <f t="shared" si="108"/>
        <v>4.9067544855780146E-2</v>
      </c>
      <c r="R100" s="83">
        <f t="shared" si="109"/>
        <v>1.0688594308464914</v>
      </c>
      <c r="S100" s="83">
        <f t="shared" si="110"/>
        <v>0</v>
      </c>
      <c r="T100" s="83">
        <f t="shared" si="111"/>
        <v>8.2836605890603085E-2</v>
      </c>
      <c r="U100" s="83">
        <f t="shared" si="112"/>
        <v>5.8765932318873481E-3</v>
      </c>
      <c r="V100" s="83">
        <f t="shared" si="113"/>
        <v>2.3150215761980467E-3</v>
      </c>
      <c r="W100" s="83">
        <f t="shared" si="114"/>
        <v>0.28255135135135134</v>
      </c>
      <c r="X100" s="83">
        <f t="shared" si="115"/>
        <v>0.56510270270270269</v>
      </c>
      <c r="Y100" s="83">
        <f t="shared" si="116"/>
        <v>8.9698841698841695E-8</v>
      </c>
      <c r="Z100" s="83">
        <f t="shared" si="117"/>
        <v>1.0193050193050191E-6</v>
      </c>
      <c r="AA100" s="83">
        <f t="shared" si="118"/>
        <v>1.0193050193050192E-15</v>
      </c>
      <c r="AB100" s="131">
        <f t="shared" si="119"/>
        <v>17.402293178279514</v>
      </c>
    </row>
    <row r="101" spans="1:29">
      <c r="A101" t="s">
        <v>241</v>
      </c>
      <c r="B101">
        <v>4.5</v>
      </c>
      <c r="C101">
        <v>2</v>
      </c>
      <c r="D101">
        <v>0.59</v>
      </c>
      <c r="F101">
        <v>0.11</v>
      </c>
      <c r="H101" s="83">
        <f t="shared" si="100"/>
        <v>2.9200153204633203E-6</v>
      </c>
      <c r="I101" s="83">
        <f t="shared" si="101"/>
        <v>3.3869091753691675E-6</v>
      </c>
      <c r="J101" s="83">
        <f t="shared" si="102"/>
        <v>3.2567254270146715E-4</v>
      </c>
      <c r="L101" s="83">
        <f t="shared" si="103"/>
        <v>1.0763861003861002E-5</v>
      </c>
      <c r="M101" s="83">
        <f t="shared" si="104"/>
        <v>5.2473822393822384E-6</v>
      </c>
      <c r="N101" s="83">
        <f t="shared" si="105"/>
        <v>7.1759073359073361E-8</v>
      </c>
      <c r="O101" s="83">
        <f t="shared" si="106"/>
        <v>5.3127359999999993E-6</v>
      </c>
      <c r="P101" s="83">
        <f t="shared" si="107"/>
        <v>4.1469999999999997E-7</v>
      </c>
      <c r="Q101" s="83">
        <f t="shared" si="108"/>
        <v>4.9067544855780146E-2</v>
      </c>
      <c r="R101" s="83">
        <f t="shared" si="109"/>
        <v>0.70069673799936649</v>
      </c>
      <c r="S101" s="83">
        <f t="shared" si="110"/>
        <v>0</v>
      </c>
      <c r="T101" s="83">
        <f t="shared" si="111"/>
        <v>5.4303997194950909E-2</v>
      </c>
      <c r="U101" s="83">
        <f t="shared" si="112"/>
        <v>5.8765932318873481E-3</v>
      </c>
      <c r="V101" s="83">
        <f t="shared" si="113"/>
        <v>2.3150215761980467E-3</v>
      </c>
      <c r="W101" s="83">
        <f t="shared" si="114"/>
        <v>0.28255135135135134</v>
      </c>
      <c r="X101" s="83">
        <f t="shared" si="115"/>
        <v>0.56510270270270269</v>
      </c>
      <c r="Y101" s="83">
        <f t="shared" si="116"/>
        <v>8.9698841698841695E-8</v>
      </c>
      <c r="Z101" s="83">
        <f t="shared" si="117"/>
        <v>1.0193050193050191E-6</v>
      </c>
      <c r="AA101" s="83">
        <f t="shared" si="118"/>
        <v>1.0193050193050192E-15</v>
      </c>
      <c r="AB101" s="131">
        <f t="shared" si="119"/>
        <v>17.231177959101558</v>
      </c>
    </row>
    <row r="102" spans="1:29">
      <c r="A102" s="5" t="s">
        <v>242</v>
      </c>
      <c r="B102">
        <v>4.5</v>
      </c>
      <c r="C102">
        <v>2</v>
      </c>
      <c r="D102">
        <v>0.9</v>
      </c>
      <c r="F102">
        <v>0.11</v>
      </c>
      <c r="H102" s="83">
        <f t="shared" si="100"/>
        <v>2.9200153204633203E-6</v>
      </c>
      <c r="I102" s="83">
        <f t="shared" si="101"/>
        <v>5.1664716234444929E-6</v>
      </c>
      <c r="J102" s="83">
        <f t="shared" si="102"/>
        <v>3.2567254270146715E-4</v>
      </c>
      <c r="L102" s="83">
        <f t="shared" si="103"/>
        <v>1.0763861003861002E-5</v>
      </c>
      <c r="M102" s="83">
        <f t="shared" si="104"/>
        <v>5.2473822393822384E-6</v>
      </c>
      <c r="N102" s="83">
        <f t="shared" si="105"/>
        <v>7.1759073359073361E-8</v>
      </c>
      <c r="O102" s="83">
        <f t="shared" si="106"/>
        <v>5.3127359999999993E-6</v>
      </c>
      <c r="P102" s="83">
        <f t="shared" si="107"/>
        <v>4.1469999999999997E-7</v>
      </c>
      <c r="Q102" s="83">
        <f t="shared" si="108"/>
        <v>4.9067544855780146E-2</v>
      </c>
      <c r="R102" s="83">
        <f t="shared" si="109"/>
        <v>1.0688594308464914</v>
      </c>
      <c r="S102" s="83">
        <f t="shared" si="110"/>
        <v>0</v>
      </c>
      <c r="T102" s="83">
        <f t="shared" si="111"/>
        <v>8.2836605890603085E-2</v>
      </c>
      <c r="U102" s="83">
        <f t="shared" si="112"/>
        <v>5.8765932318873481E-3</v>
      </c>
      <c r="V102" s="83">
        <f t="shared" si="113"/>
        <v>2.3150215761980467E-3</v>
      </c>
      <c r="W102" s="83">
        <f t="shared" si="114"/>
        <v>0.28255135135135134</v>
      </c>
      <c r="X102" s="83">
        <f t="shared" si="115"/>
        <v>0.56510270270270269</v>
      </c>
      <c r="Y102" s="83">
        <f t="shared" si="116"/>
        <v>8.9698841698841695E-8</v>
      </c>
      <c r="Z102" s="83">
        <f t="shared" si="117"/>
        <v>1.0193050193050191E-6</v>
      </c>
      <c r="AA102" s="83">
        <f t="shared" si="118"/>
        <v>1.0193050193050192E-15</v>
      </c>
      <c r="AB102" s="131">
        <f t="shared" si="119"/>
        <v>17.402293178279514</v>
      </c>
      <c r="AC102" s="1"/>
    </row>
    <row r="103" spans="1:29">
      <c r="A103" t="s">
        <v>629</v>
      </c>
      <c r="B103">
        <v>4.5</v>
      </c>
      <c r="C103">
        <v>2</v>
      </c>
      <c r="D103">
        <v>0.19</v>
      </c>
      <c r="F103">
        <v>0.11</v>
      </c>
      <c r="H103" s="83">
        <f t="shared" si="100"/>
        <v>2.9200153204633203E-6</v>
      </c>
      <c r="I103" s="83">
        <f t="shared" si="101"/>
        <v>1.090699564949393E-6</v>
      </c>
      <c r="J103" s="83">
        <f t="shared" si="102"/>
        <v>3.2567254270146715E-4</v>
      </c>
      <c r="L103" s="83">
        <f t="shared" si="103"/>
        <v>1.0763861003861002E-5</v>
      </c>
      <c r="M103" s="83">
        <f t="shared" si="104"/>
        <v>5.2473822393822384E-6</v>
      </c>
      <c r="N103" s="83">
        <f t="shared" si="105"/>
        <v>7.1759073359073361E-8</v>
      </c>
      <c r="O103" s="83">
        <f t="shared" si="106"/>
        <v>5.3127359999999993E-6</v>
      </c>
      <c r="P103" s="83">
        <f t="shared" si="107"/>
        <v>4.1469999999999997E-7</v>
      </c>
      <c r="Q103" s="83">
        <f t="shared" si="108"/>
        <v>4.9067544855780146E-2</v>
      </c>
      <c r="R103" s="83">
        <f t="shared" si="109"/>
        <v>0.22564810206759264</v>
      </c>
      <c r="S103" s="83">
        <f t="shared" si="110"/>
        <v>0</v>
      </c>
      <c r="T103" s="83">
        <f t="shared" si="111"/>
        <v>1.7487727910238428E-2</v>
      </c>
      <c r="U103" s="83">
        <f t="shared" si="112"/>
        <v>5.8765932318873481E-3</v>
      </c>
      <c r="V103" s="83">
        <f t="shared" si="113"/>
        <v>2.3150215761980467E-3</v>
      </c>
      <c r="W103" s="83">
        <f t="shared" si="114"/>
        <v>0.28255135135135134</v>
      </c>
      <c r="X103" s="83">
        <f t="shared" si="115"/>
        <v>0.56510270270270269</v>
      </c>
      <c r="Y103" s="83">
        <f t="shared" si="116"/>
        <v>8.9698841698841695E-8</v>
      </c>
      <c r="Z103" s="83">
        <f t="shared" si="117"/>
        <v>1.0193050193050191E-6</v>
      </c>
      <c r="AA103" s="83">
        <f t="shared" si="118"/>
        <v>1.0193050193050192E-15</v>
      </c>
      <c r="AB103" s="131">
        <f t="shared" si="119"/>
        <v>17.010384127904189</v>
      </c>
      <c r="AC103" s="1"/>
    </row>
    <row r="104" spans="1:29">
      <c r="A104" t="s">
        <v>707</v>
      </c>
      <c r="B104">
        <v>4.5</v>
      </c>
      <c r="C104">
        <v>2</v>
      </c>
      <c r="D104">
        <v>0.71</v>
      </c>
      <c r="F104">
        <v>0.11</v>
      </c>
      <c r="H104" s="83">
        <f t="shared" si="100"/>
        <v>2.9200153204633203E-6</v>
      </c>
      <c r="I104" s="83">
        <f t="shared" si="101"/>
        <v>4.0757720584950993E-6</v>
      </c>
      <c r="J104" s="83">
        <f t="shared" si="102"/>
        <v>3.2567254270146715E-4</v>
      </c>
      <c r="L104" s="83">
        <f t="shared" si="103"/>
        <v>1.0763861003861002E-5</v>
      </c>
      <c r="M104" s="83">
        <f t="shared" si="104"/>
        <v>5.2473822393822384E-6</v>
      </c>
      <c r="N104" s="83">
        <f t="shared" si="105"/>
        <v>7.1759073359073361E-8</v>
      </c>
      <c r="O104" s="83">
        <f t="shared" si="106"/>
        <v>5.3127359999999993E-6</v>
      </c>
      <c r="P104" s="83">
        <f t="shared" si="107"/>
        <v>4.1469999999999997E-7</v>
      </c>
      <c r="Q104" s="83">
        <f t="shared" si="108"/>
        <v>4.9067544855780146E-2</v>
      </c>
      <c r="R104" s="83">
        <f t="shared" si="109"/>
        <v>0.84321132877889871</v>
      </c>
      <c r="S104" s="83">
        <f t="shared" si="110"/>
        <v>0</v>
      </c>
      <c r="T104" s="83">
        <f t="shared" si="111"/>
        <v>6.534887798036465E-2</v>
      </c>
      <c r="U104" s="83">
        <f t="shared" si="112"/>
        <v>5.8765932318873481E-3</v>
      </c>
      <c r="V104" s="83">
        <f t="shared" si="113"/>
        <v>2.3150215761980467E-3</v>
      </c>
      <c r="W104" s="83">
        <f t="shared" si="114"/>
        <v>0.28255135135135134</v>
      </c>
      <c r="X104" s="83">
        <f t="shared" si="115"/>
        <v>0.56510270270270269</v>
      </c>
      <c r="Y104" s="83">
        <f t="shared" si="116"/>
        <v>8.9698841698841695E-8</v>
      </c>
      <c r="Z104" s="83">
        <f t="shared" si="117"/>
        <v>1.0193050193050191E-6</v>
      </c>
      <c r="AA104" s="83">
        <f t="shared" si="118"/>
        <v>1.0193050193050192E-15</v>
      </c>
      <c r="AB104" s="131">
        <f t="shared" si="119"/>
        <v>17.297416108460766</v>
      </c>
      <c r="AC104" s="1"/>
    </row>
    <row r="105" spans="1:29">
      <c r="A105" t="s">
        <v>243</v>
      </c>
      <c r="B105">
        <v>4.5</v>
      </c>
      <c r="C105">
        <v>2</v>
      </c>
      <c r="D105">
        <v>0.99</v>
      </c>
      <c r="F105">
        <v>0.11</v>
      </c>
      <c r="H105" s="83">
        <f t="shared" si="100"/>
        <v>2.9200153204633203E-6</v>
      </c>
      <c r="I105" s="83">
        <f t="shared" si="101"/>
        <v>5.6831187857889423E-6</v>
      </c>
      <c r="J105" s="83">
        <f t="shared" si="102"/>
        <v>3.2567254270146715E-4</v>
      </c>
      <c r="L105" s="83">
        <f t="shared" si="103"/>
        <v>1.0763861003861002E-5</v>
      </c>
      <c r="M105" s="83">
        <f t="shared" si="104"/>
        <v>5.2473822393822384E-6</v>
      </c>
      <c r="N105" s="83">
        <f t="shared" si="105"/>
        <v>7.1759073359073361E-8</v>
      </c>
      <c r="O105" s="83">
        <f t="shared" si="106"/>
        <v>5.3127359999999993E-6</v>
      </c>
      <c r="P105" s="83">
        <f t="shared" si="107"/>
        <v>4.1469999999999997E-7</v>
      </c>
      <c r="Q105" s="83">
        <f t="shared" si="108"/>
        <v>4.9067544855780146E-2</v>
      </c>
      <c r="R105" s="83">
        <f t="shared" si="109"/>
        <v>1.1757453739311405</v>
      </c>
      <c r="S105" s="83">
        <f t="shared" si="110"/>
        <v>0</v>
      </c>
      <c r="T105" s="83">
        <f t="shared" si="111"/>
        <v>9.1120266479663398E-2</v>
      </c>
      <c r="U105" s="83">
        <f t="shared" si="112"/>
        <v>5.8765932318873481E-3</v>
      </c>
      <c r="V105" s="83">
        <f t="shared" si="113"/>
        <v>2.3150215761980467E-3</v>
      </c>
      <c r="W105" s="83">
        <f t="shared" si="114"/>
        <v>0.28255135135135134</v>
      </c>
      <c r="X105" s="83">
        <f t="shared" si="115"/>
        <v>0.56510270270270269</v>
      </c>
      <c r="Y105" s="83">
        <f t="shared" si="116"/>
        <v>8.9698841698841695E-8</v>
      </c>
      <c r="Z105" s="83">
        <f t="shared" si="117"/>
        <v>1.0193050193050191E-6</v>
      </c>
      <c r="AA105" s="83">
        <f t="shared" si="118"/>
        <v>1.0193050193050192E-15</v>
      </c>
      <c r="AB105" s="131">
        <f t="shared" si="119"/>
        <v>17.45197179029892</v>
      </c>
    </row>
    <row r="106" spans="1:29">
      <c r="A106" t="s">
        <v>633</v>
      </c>
      <c r="B106">
        <v>4.5</v>
      </c>
      <c r="C106">
        <v>2</v>
      </c>
      <c r="D106">
        <v>1.02</v>
      </c>
      <c r="F106">
        <v>0.11</v>
      </c>
      <c r="H106" s="83">
        <f t="shared" si="100"/>
        <v>2.9200153204633203E-6</v>
      </c>
      <c r="I106" s="83">
        <f t="shared" si="101"/>
        <v>5.855334506570426E-6</v>
      </c>
      <c r="J106" s="83">
        <f t="shared" si="102"/>
        <v>3.2567254270146715E-4</v>
      </c>
      <c r="L106" s="83">
        <f t="shared" si="103"/>
        <v>1.0763861003861002E-5</v>
      </c>
      <c r="M106" s="83">
        <f t="shared" si="104"/>
        <v>5.2473822393822384E-6</v>
      </c>
      <c r="N106" s="83">
        <f t="shared" si="105"/>
        <v>7.1759073359073361E-8</v>
      </c>
      <c r="O106" s="83">
        <f t="shared" si="106"/>
        <v>5.3127359999999993E-6</v>
      </c>
      <c r="P106" s="83">
        <f t="shared" si="107"/>
        <v>4.1469999999999997E-7</v>
      </c>
      <c r="Q106" s="83">
        <f t="shared" si="108"/>
        <v>4.9067544855780146E-2</v>
      </c>
      <c r="R106" s="83">
        <f t="shared" si="109"/>
        <v>1.2113740216260236</v>
      </c>
      <c r="S106" s="83">
        <f t="shared" si="110"/>
        <v>0</v>
      </c>
      <c r="T106" s="83">
        <f t="shared" si="111"/>
        <v>9.3881486676016826E-2</v>
      </c>
      <c r="U106" s="83">
        <f t="shared" si="112"/>
        <v>5.8765932318873481E-3</v>
      </c>
      <c r="V106" s="83">
        <f t="shared" si="113"/>
        <v>2.3150215761980467E-3</v>
      </c>
      <c r="W106" s="83">
        <f t="shared" si="114"/>
        <v>0.28255135135135134</v>
      </c>
      <c r="X106" s="83">
        <f t="shared" si="115"/>
        <v>0.56510270270270269</v>
      </c>
      <c r="Y106" s="83">
        <f t="shared" si="116"/>
        <v>8.9698841698841695E-8</v>
      </c>
      <c r="Z106" s="83">
        <f t="shared" si="117"/>
        <v>1.0193050193050191E-6</v>
      </c>
      <c r="AA106" s="83">
        <f t="shared" si="118"/>
        <v>1.0193050193050192E-15</v>
      </c>
      <c r="AB106" s="131">
        <f t="shared" si="119"/>
        <v>17.468531327638729</v>
      </c>
    </row>
    <row r="107" spans="1:29">
      <c r="A107" t="s">
        <v>624</v>
      </c>
      <c r="B107">
        <v>4.5</v>
      </c>
      <c r="C107">
        <v>2</v>
      </c>
      <c r="D107">
        <v>0</v>
      </c>
      <c r="F107">
        <v>0.11</v>
      </c>
      <c r="H107" s="83">
        <f t="shared" si="100"/>
        <v>2.9200153204633203E-6</v>
      </c>
      <c r="I107" s="83">
        <f t="shared" si="101"/>
        <v>0</v>
      </c>
      <c r="J107" s="83">
        <f t="shared" si="102"/>
        <v>3.2567254270146715E-4</v>
      </c>
      <c r="L107" s="83">
        <f t="shared" si="103"/>
        <v>1.0763861003861002E-5</v>
      </c>
      <c r="M107" s="83">
        <f t="shared" si="104"/>
        <v>5.2473822393822384E-6</v>
      </c>
      <c r="N107" s="83">
        <f t="shared" si="105"/>
        <v>7.1759073359073361E-8</v>
      </c>
      <c r="O107" s="83">
        <f t="shared" si="106"/>
        <v>5.3127359999999993E-6</v>
      </c>
      <c r="P107" s="83">
        <f t="shared" si="107"/>
        <v>4.1469999999999997E-7</v>
      </c>
      <c r="Q107" s="83">
        <f t="shared" si="108"/>
        <v>4.9067544855780146E-2</v>
      </c>
      <c r="R107" s="83">
        <f t="shared" si="109"/>
        <v>0</v>
      </c>
      <c r="S107" s="83">
        <f t="shared" si="110"/>
        <v>0</v>
      </c>
      <c r="T107" s="83">
        <f t="shared" si="111"/>
        <v>0</v>
      </c>
      <c r="U107" s="83">
        <f t="shared" si="112"/>
        <v>5.8765932318873481E-3</v>
      </c>
      <c r="V107" s="83">
        <f t="shared" si="113"/>
        <v>2.3150215761980467E-3</v>
      </c>
      <c r="W107" s="83">
        <f t="shared" si="114"/>
        <v>0.28255135135135134</v>
      </c>
      <c r="X107" s="83">
        <f t="shared" si="115"/>
        <v>0.56510270270270269</v>
      </c>
      <c r="Y107" s="83">
        <f t="shared" si="116"/>
        <v>8.9698841698841695E-8</v>
      </c>
      <c r="Z107" s="83">
        <f t="shared" si="117"/>
        <v>1.0193050193050191E-6</v>
      </c>
      <c r="AA107" s="83">
        <f t="shared" si="118"/>
        <v>1.0193050193050192E-15</v>
      </c>
      <c r="AB107" s="131">
        <f t="shared" si="119"/>
        <v>16.905507058085441</v>
      </c>
    </row>
    <row r="108" spans="1:29">
      <c r="A108" s="44" t="s">
        <v>723</v>
      </c>
      <c r="AB108" s="200"/>
    </row>
    <row r="109" spans="1:29">
      <c r="A109" s="5" t="s">
        <v>634</v>
      </c>
      <c r="B109">
        <v>4.5</v>
      </c>
      <c r="C109">
        <v>2</v>
      </c>
      <c r="D109" s="5">
        <v>3.3000000000000002E-2</v>
      </c>
      <c r="F109">
        <v>0.11</v>
      </c>
      <c r="H109" s="83">
        <f t="shared" ref="H109:H115" si="120">B109*charco2yoll</f>
        <v>2.9200153204633203E-6</v>
      </c>
      <c r="I109" s="83">
        <f t="shared" ref="I109:I115" si="121">D109*NOx_YOLL_Oxidant_charfact/0.62</f>
        <v>1.8943729285963143E-7</v>
      </c>
      <c r="J109" s="83">
        <f t="shared" ref="J109:J115" si="122">F109*PM2.5_YOLL_charfact</f>
        <v>3.2567254270146715E-4</v>
      </c>
      <c r="L109" s="83">
        <f t="shared" ref="L109:L115" si="123">CO2_malnutrition_charfact*B109</f>
        <v>1.0763861003861002E-5</v>
      </c>
      <c r="M109" s="83">
        <f t="shared" ref="M109:M115" si="124">CO2_workingcapacity_charfact*B109</f>
        <v>5.2473822393822384E-6</v>
      </c>
      <c r="N109" s="83">
        <f t="shared" ref="N109:N115" si="125">CO2_diarrhea_charfact*B109</f>
        <v>7.1759073359073361E-8</v>
      </c>
      <c r="O109" s="83">
        <f t="shared" ref="O109:O115" si="126">PM2.5_asthmacases_charfact*F109</f>
        <v>5.3127359999999993E-6</v>
      </c>
      <c r="P109" s="83">
        <f t="shared" ref="P109:P115" si="127">PM2.5_COPD_charfact*F109</f>
        <v>4.1469999999999997E-7</v>
      </c>
      <c r="Q109" s="83">
        <f t="shared" ref="Q109:Q115" si="128">CO2_crop_charfact*B109</f>
        <v>4.9067544855780146E-2</v>
      </c>
      <c r="R109" s="83">
        <f t="shared" ref="R109:R115" si="129">charnoxcrop/0.62*D109</f>
        <v>3.9191512464371352E-2</v>
      </c>
      <c r="S109" s="83">
        <f t="shared" ref="S109:S115" si="130">charco2woodgw*B109</f>
        <v>0</v>
      </c>
      <c r="T109" s="83">
        <f t="shared" ref="T109:T115" si="131">NOx_wood_oxidantcharfact/0.62*D109</f>
        <v>3.03734221598878E-3</v>
      </c>
      <c r="U109" s="83">
        <f t="shared" ref="U109:U115" si="132">CO2_fruitandveg_charfact*B109</f>
        <v>5.8765932318873481E-3</v>
      </c>
      <c r="V109" s="83">
        <f t="shared" ref="V109:V115" si="133">CO2_meatandfish_charfact*B109</f>
        <v>2.3150215761980467E-3</v>
      </c>
      <c r="W109" s="83">
        <f t="shared" ref="W109:W115" si="134">CO2_drinkingwater_charfact*B109</f>
        <v>0.28255135135135134</v>
      </c>
      <c r="X109" s="83">
        <f t="shared" ref="X109:X115" si="135">CO2_irrigationwater_charfact*B109</f>
        <v>0.56510270270270269</v>
      </c>
      <c r="Y109" s="83">
        <f t="shared" ref="Y109:Y115" si="136">CO2_housing_charfact*B109</f>
        <v>8.9698841698841695E-8</v>
      </c>
      <c r="Z109" s="83">
        <f t="shared" ref="Z109:Z115" si="137">CO2_separations_charfact*B109</f>
        <v>1.0193050193050191E-6</v>
      </c>
      <c r="AA109" s="83">
        <f t="shared" ref="AA109:AA115" si="138">CO2_NEX_charfact*B109</f>
        <v>1.0193050193050192E-15</v>
      </c>
      <c r="AB109" s="131">
        <f t="shared" ref="AB109:AB115" si="139">(H109+I109+J109+K109)*YOLLvalue+L109*malnutrition+M109*working_capacity+N109*diarrhea+O109*asthmacasesvalue+P109*COPDvalue+(Q109+R109)*cropvalue+(S109+T109)*woodvalue+U109*Fruitandveg_value+V109*fishandmeatvalue+W109*drinkingwatervalue+X109*irrigationwatervalue+Y109*housingvalue+Z109*migrationvalue+AA109*speciesvalue</f>
        <v>16.923722549159223</v>
      </c>
    </row>
    <row r="110" spans="1:29">
      <c r="A110" t="s">
        <v>708</v>
      </c>
      <c r="B110">
        <v>4.5</v>
      </c>
      <c r="C110">
        <v>2</v>
      </c>
      <c r="D110" s="5">
        <v>6.8000000000000005E-2</v>
      </c>
      <c r="E110">
        <v>1.3</v>
      </c>
      <c r="F110">
        <v>0.11</v>
      </c>
      <c r="H110" s="83">
        <f t="shared" si="120"/>
        <v>2.9200153204633203E-6</v>
      </c>
      <c r="I110" s="83">
        <f t="shared" si="121"/>
        <v>3.9035563377136177E-7</v>
      </c>
      <c r="J110" s="83">
        <f t="shared" si="122"/>
        <v>3.2567254270146715E-4</v>
      </c>
      <c r="L110" s="83">
        <f t="shared" si="123"/>
        <v>1.0763861003861002E-5</v>
      </c>
      <c r="M110" s="83">
        <f t="shared" si="124"/>
        <v>5.2473822393822384E-6</v>
      </c>
      <c r="N110" s="83">
        <f t="shared" si="125"/>
        <v>7.1759073359073361E-8</v>
      </c>
      <c r="O110" s="83">
        <f t="shared" si="126"/>
        <v>5.3127359999999993E-6</v>
      </c>
      <c r="P110" s="83">
        <f t="shared" si="127"/>
        <v>4.1469999999999997E-7</v>
      </c>
      <c r="Q110" s="83">
        <f t="shared" si="128"/>
        <v>4.9067544855780146E-2</v>
      </c>
      <c r="R110" s="83">
        <f t="shared" si="129"/>
        <v>8.0758268108401574E-2</v>
      </c>
      <c r="S110" s="83">
        <f t="shared" si="130"/>
        <v>0</v>
      </c>
      <c r="T110" s="83">
        <f t="shared" si="131"/>
        <v>6.2587657784011225E-3</v>
      </c>
      <c r="U110" s="83">
        <f t="shared" si="132"/>
        <v>5.8765932318873481E-3</v>
      </c>
      <c r="V110" s="83">
        <f t="shared" si="133"/>
        <v>2.3150215761980467E-3</v>
      </c>
      <c r="W110" s="83">
        <f t="shared" si="134"/>
        <v>0.28255135135135134</v>
      </c>
      <c r="X110" s="83">
        <f t="shared" si="135"/>
        <v>0.56510270270270269</v>
      </c>
      <c r="Y110" s="83">
        <f t="shared" si="136"/>
        <v>8.9698841698841695E-8</v>
      </c>
      <c r="Z110" s="83">
        <f t="shared" si="137"/>
        <v>1.0193050193050191E-6</v>
      </c>
      <c r="AA110" s="83">
        <f t="shared" si="138"/>
        <v>1.0193050193050192E-15</v>
      </c>
      <c r="AB110" s="131">
        <f t="shared" si="139"/>
        <v>16.943042009388993</v>
      </c>
    </row>
    <row r="111" spans="1:29">
      <c r="A111" t="s">
        <v>245</v>
      </c>
      <c r="B111">
        <v>4.5</v>
      </c>
      <c r="C111">
        <v>2</v>
      </c>
      <c r="D111">
        <v>0.24</v>
      </c>
      <c r="E111">
        <v>2</v>
      </c>
      <c r="F111">
        <v>0.11</v>
      </c>
      <c r="H111" s="83">
        <f t="shared" si="120"/>
        <v>2.9200153204633203E-6</v>
      </c>
      <c r="I111" s="83">
        <f t="shared" si="121"/>
        <v>1.3777257662518649E-6</v>
      </c>
      <c r="J111" s="83">
        <f t="shared" si="122"/>
        <v>3.2567254270146715E-4</v>
      </c>
      <c r="L111" s="83">
        <f t="shared" si="123"/>
        <v>1.0763861003861002E-5</v>
      </c>
      <c r="M111" s="83">
        <f t="shared" si="124"/>
        <v>5.2473822393822384E-6</v>
      </c>
      <c r="N111" s="83">
        <f t="shared" si="125"/>
        <v>7.1759073359073361E-8</v>
      </c>
      <c r="O111" s="83">
        <f t="shared" si="126"/>
        <v>5.3127359999999993E-6</v>
      </c>
      <c r="P111" s="83">
        <f t="shared" si="127"/>
        <v>4.1469999999999997E-7</v>
      </c>
      <c r="Q111" s="83">
        <f t="shared" si="128"/>
        <v>4.9067544855780146E-2</v>
      </c>
      <c r="R111" s="83">
        <f t="shared" si="129"/>
        <v>0.28502918155906437</v>
      </c>
      <c r="S111" s="83">
        <f t="shared" si="130"/>
        <v>0</v>
      </c>
      <c r="T111" s="83">
        <f t="shared" si="131"/>
        <v>2.2089761570827489E-2</v>
      </c>
      <c r="U111" s="83">
        <f t="shared" si="132"/>
        <v>5.8765932318873481E-3</v>
      </c>
      <c r="V111" s="83">
        <f t="shared" si="133"/>
        <v>2.3150215761980467E-3</v>
      </c>
      <c r="W111" s="83">
        <f t="shared" si="134"/>
        <v>0.28255135135135134</v>
      </c>
      <c r="X111" s="83">
        <f t="shared" si="135"/>
        <v>0.56510270270270269</v>
      </c>
      <c r="Y111" s="83">
        <f t="shared" si="136"/>
        <v>8.9698841698841695E-8</v>
      </c>
      <c r="Z111" s="83">
        <f t="shared" si="137"/>
        <v>1.0193050193050191E-6</v>
      </c>
      <c r="AA111" s="83">
        <f t="shared" si="138"/>
        <v>1.0193050193050192E-15</v>
      </c>
      <c r="AB111" s="131">
        <f t="shared" si="139"/>
        <v>17.037983356803856</v>
      </c>
    </row>
    <row r="112" spans="1:29">
      <c r="A112" t="s">
        <v>731</v>
      </c>
      <c r="B112">
        <v>4.5</v>
      </c>
      <c r="C112">
        <v>2</v>
      </c>
      <c r="D112">
        <v>0.28999999999999998</v>
      </c>
      <c r="F112">
        <v>0.11</v>
      </c>
      <c r="H112" s="83">
        <f t="shared" si="120"/>
        <v>2.9200153204633203E-6</v>
      </c>
      <c r="I112" s="83">
        <f t="shared" si="121"/>
        <v>1.6647519675543365E-6</v>
      </c>
      <c r="J112" s="83">
        <f t="shared" si="122"/>
        <v>3.2567254270146715E-4</v>
      </c>
      <c r="L112" s="83">
        <f t="shared" si="123"/>
        <v>1.0763861003861002E-5</v>
      </c>
      <c r="M112" s="83">
        <f t="shared" si="124"/>
        <v>5.2473822393822384E-6</v>
      </c>
      <c r="N112" s="83">
        <f t="shared" si="125"/>
        <v>7.1759073359073361E-8</v>
      </c>
      <c r="O112" s="83">
        <f t="shared" si="126"/>
        <v>5.3127359999999993E-6</v>
      </c>
      <c r="P112" s="83">
        <f t="shared" si="127"/>
        <v>4.1469999999999997E-7</v>
      </c>
      <c r="Q112" s="83">
        <f t="shared" si="128"/>
        <v>4.9067544855780146E-2</v>
      </c>
      <c r="R112" s="83">
        <f t="shared" si="129"/>
        <v>0.34441026105053607</v>
      </c>
      <c r="S112" s="83">
        <f t="shared" si="130"/>
        <v>0</v>
      </c>
      <c r="T112" s="83">
        <f t="shared" si="131"/>
        <v>2.669179523141655E-2</v>
      </c>
      <c r="U112" s="83">
        <f t="shared" si="132"/>
        <v>5.8765932318873481E-3</v>
      </c>
      <c r="V112" s="83">
        <f t="shared" si="133"/>
        <v>2.3150215761980467E-3</v>
      </c>
      <c r="W112" s="83">
        <f t="shared" si="134"/>
        <v>0.28255135135135134</v>
      </c>
      <c r="X112" s="83">
        <f t="shared" si="135"/>
        <v>0.56510270270270269</v>
      </c>
      <c r="Y112" s="83">
        <f t="shared" si="136"/>
        <v>8.9698841698841695E-8</v>
      </c>
      <c r="Z112" s="83">
        <f t="shared" si="137"/>
        <v>1.0193050193050191E-6</v>
      </c>
      <c r="AA112" s="83">
        <f t="shared" si="138"/>
        <v>1.0193050193050192E-15</v>
      </c>
      <c r="AB112" s="131">
        <f t="shared" si="139"/>
        <v>17.065582585703531</v>
      </c>
    </row>
    <row r="113" spans="1:30">
      <c r="A113" s="5" t="s">
        <v>732</v>
      </c>
      <c r="B113">
        <v>4.5</v>
      </c>
      <c r="C113">
        <v>2</v>
      </c>
      <c r="D113">
        <v>0.21</v>
      </c>
      <c r="F113">
        <v>0.11</v>
      </c>
      <c r="H113" s="83">
        <f t="shared" si="120"/>
        <v>2.9200153204633203E-6</v>
      </c>
      <c r="I113" s="83">
        <f t="shared" si="121"/>
        <v>1.2055100454703818E-6</v>
      </c>
      <c r="J113" s="83">
        <f t="shared" si="122"/>
        <v>3.2567254270146715E-4</v>
      </c>
      <c r="L113" s="83">
        <f t="shared" si="123"/>
        <v>1.0763861003861002E-5</v>
      </c>
      <c r="M113" s="83">
        <f t="shared" si="124"/>
        <v>5.2473822393822384E-6</v>
      </c>
      <c r="N113" s="83">
        <f t="shared" si="125"/>
        <v>7.1759073359073361E-8</v>
      </c>
      <c r="O113" s="83">
        <f t="shared" si="126"/>
        <v>5.3127359999999993E-6</v>
      </c>
      <c r="P113" s="83">
        <f t="shared" si="127"/>
        <v>4.1469999999999997E-7</v>
      </c>
      <c r="Q113" s="83">
        <f t="shared" si="128"/>
        <v>4.9067544855780146E-2</v>
      </c>
      <c r="R113" s="83">
        <f t="shared" si="129"/>
        <v>0.24940053386418132</v>
      </c>
      <c r="S113" s="83">
        <f t="shared" si="130"/>
        <v>0</v>
      </c>
      <c r="T113" s="83">
        <f t="shared" si="131"/>
        <v>1.9328541374474054E-2</v>
      </c>
      <c r="U113" s="83">
        <f t="shared" si="132"/>
        <v>5.8765932318873481E-3</v>
      </c>
      <c r="V113" s="83">
        <f t="shared" si="133"/>
        <v>2.3150215761980467E-3</v>
      </c>
      <c r="W113" s="83">
        <f t="shared" si="134"/>
        <v>0.28255135135135134</v>
      </c>
      <c r="X113" s="83">
        <f t="shared" si="135"/>
        <v>0.56510270270270269</v>
      </c>
      <c r="Y113" s="83">
        <f t="shared" si="136"/>
        <v>8.9698841698841695E-8</v>
      </c>
      <c r="Z113" s="83">
        <f t="shared" si="137"/>
        <v>1.0193050193050191E-6</v>
      </c>
      <c r="AA113" s="83">
        <f t="shared" si="138"/>
        <v>1.0193050193050192E-15</v>
      </c>
      <c r="AB113" s="131">
        <f t="shared" si="139"/>
        <v>17.021423819464058</v>
      </c>
    </row>
    <row r="114" spans="1:30">
      <c r="A114" t="s">
        <v>246</v>
      </c>
      <c r="B114">
        <v>4.5</v>
      </c>
      <c r="C114">
        <v>2</v>
      </c>
      <c r="D114">
        <v>0.44</v>
      </c>
      <c r="F114">
        <v>0.11</v>
      </c>
      <c r="H114" s="83">
        <f t="shared" si="120"/>
        <v>2.9200153204633203E-6</v>
      </c>
      <c r="I114" s="83">
        <f t="shared" si="121"/>
        <v>2.5258305714617525E-6</v>
      </c>
      <c r="J114" s="83">
        <f t="shared" si="122"/>
        <v>3.2567254270146715E-4</v>
      </c>
      <c r="L114" s="83">
        <f t="shared" si="123"/>
        <v>1.0763861003861002E-5</v>
      </c>
      <c r="M114" s="83">
        <f t="shared" si="124"/>
        <v>5.2473822393822384E-6</v>
      </c>
      <c r="N114" s="83">
        <f t="shared" si="125"/>
        <v>7.1759073359073361E-8</v>
      </c>
      <c r="O114" s="83">
        <f t="shared" si="126"/>
        <v>5.3127359999999993E-6</v>
      </c>
      <c r="P114" s="83">
        <f t="shared" si="127"/>
        <v>4.1469999999999997E-7</v>
      </c>
      <c r="Q114" s="83">
        <f t="shared" si="128"/>
        <v>4.9067544855780146E-2</v>
      </c>
      <c r="R114" s="83">
        <f t="shared" si="129"/>
        <v>0.52255349952495134</v>
      </c>
      <c r="S114" s="83">
        <f t="shared" si="130"/>
        <v>0</v>
      </c>
      <c r="T114" s="83">
        <f t="shared" si="131"/>
        <v>4.0497896213183733E-2</v>
      </c>
      <c r="U114" s="83">
        <f t="shared" si="132"/>
        <v>5.8765932318873481E-3</v>
      </c>
      <c r="V114" s="83">
        <f t="shared" si="133"/>
        <v>2.3150215761980467E-3</v>
      </c>
      <c r="W114" s="83">
        <f t="shared" si="134"/>
        <v>0.28255135135135134</v>
      </c>
      <c r="X114" s="83">
        <f t="shared" si="135"/>
        <v>0.56510270270270269</v>
      </c>
      <c r="Y114" s="83">
        <f t="shared" si="136"/>
        <v>8.9698841698841695E-8</v>
      </c>
      <c r="Z114" s="83">
        <f t="shared" si="137"/>
        <v>1.0193050193050191E-6</v>
      </c>
      <c r="AA114" s="83">
        <f t="shared" si="138"/>
        <v>1.0193050193050192E-15</v>
      </c>
      <c r="AB114" s="131">
        <f t="shared" si="139"/>
        <v>17.148380272402541</v>
      </c>
    </row>
    <row r="115" spans="1:30">
      <c r="A115" t="s">
        <v>636</v>
      </c>
      <c r="B115">
        <v>4.5</v>
      </c>
      <c r="C115">
        <v>2</v>
      </c>
      <c r="D115">
        <v>0.3</v>
      </c>
      <c r="F115">
        <v>0.11</v>
      </c>
      <c r="H115" s="83">
        <f t="shared" si="120"/>
        <v>2.9200153204633203E-6</v>
      </c>
      <c r="I115" s="83">
        <f t="shared" si="121"/>
        <v>1.722157207814831E-6</v>
      </c>
      <c r="J115" s="83">
        <f t="shared" si="122"/>
        <v>3.2567254270146715E-4</v>
      </c>
      <c r="L115" s="83">
        <f t="shared" si="123"/>
        <v>1.0763861003861002E-5</v>
      </c>
      <c r="M115" s="83">
        <f t="shared" si="124"/>
        <v>5.2473822393822384E-6</v>
      </c>
      <c r="N115" s="83">
        <f t="shared" si="125"/>
        <v>7.1759073359073361E-8</v>
      </c>
      <c r="O115" s="83">
        <f t="shared" si="126"/>
        <v>5.3127359999999993E-6</v>
      </c>
      <c r="P115" s="83">
        <f t="shared" si="127"/>
        <v>4.1469999999999997E-7</v>
      </c>
      <c r="Q115" s="83">
        <f t="shared" si="128"/>
        <v>4.9067544855780146E-2</v>
      </c>
      <c r="R115" s="83">
        <f t="shared" si="129"/>
        <v>0.35628647694883048</v>
      </c>
      <c r="S115" s="83">
        <f t="shared" si="130"/>
        <v>0</v>
      </c>
      <c r="T115" s="83">
        <f t="shared" si="131"/>
        <v>2.7612201963534363E-2</v>
      </c>
      <c r="U115" s="83">
        <f t="shared" si="132"/>
        <v>5.8765932318873481E-3</v>
      </c>
      <c r="V115" s="83">
        <f t="shared" si="133"/>
        <v>2.3150215761980467E-3</v>
      </c>
      <c r="W115" s="83">
        <f t="shared" si="134"/>
        <v>0.28255135135135134</v>
      </c>
      <c r="X115" s="83">
        <f t="shared" si="135"/>
        <v>0.56510270270270269</v>
      </c>
      <c r="Y115" s="83">
        <f t="shared" si="136"/>
        <v>8.9698841698841695E-8</v>
      </c>
      <c r="Z115" s="83">
        <f t="shared" si="137"/>
        <v>1.0193050193050191E-6</v>
      </c>
      <c r="AA115" s="83">
        <f t="shared" si="138"/>
        <v>1.0193050193050192E-15</v>
      </c>
      <c r="AB115" s="131">
        <f t="shared" si="139"/>
        <v>17.071102431483464</v>
      </c>
    </row>
    <row r="116" spans="1:30">
      <c r="A116" s="44" t="s">
        <v>724</v>
      </c>
      <c r="AB116" s="200"/>
    </row>
    <row r="117" spans="1:30">
      <c r="A117" t="s">
        <v>244</v>
      </c>
      <c r="B117">
        <v>4.5</v>
      </c>
      <c r="C117">
        <v>2</v>
      </c>
      <c r="D117">
        <v>0.33</v>
      </c>
      <c r="F117">
        <v>0.11</v>
      </c>
      <c r="H117" s="83">
        <f>B117*charco2yoll</f>
        <v>2.9200153204633203E-6</v>
      </c>
      <c r="I117" s="83">
        <f>D117*NOx_YOLL_Oxidant_charfact/0.62</f>
        <v>1.894372928596314E-6</v>
      </c>
      <c r="J117" s="83">
        <f>F117*PM2.5_YOLL_charfact</f>
        <v>3.2567254270146715E-4</v>
      </c>
      <c r="L117" s="83">
        <f>CO2_malnutrition_charfact*B117</f>
        <v>1.0763861003861002E-5</v>
      </c>
      <c r="M117" s="83">
        <f>CO2_workingcapacity_charfact*B117</f>
        <v>5.2473822393822384E-6</v>
      </c>
      <c r="N117" s="83">
        <f>CO2_diarrhea_charfact*B117</f>
        <v>7.1759073359073361E-8</v>
      </c>
      <c r="O117" s="83">
        <f>PM2.5_asthmacases_charfact*F117</f>
        <v>5.3127359999999993E-6</v>
      </c>
      <c r="P117" s="83">
        <f>PM2.5_COPD_charfact*F117</f>
        <v>4.1469999999999997E-7</v>
      </c>
      <c r="Q117" s="83">
        <f>CO2_crop_charfact*B117</f>
        <v>4.9067544855780146E-2</v>
      </c>
      <c r="R117" s="83">
        <f>charnoxcrop/0.62*D117</f>
        <v>0.39191512464371353</v>
      </c>
      <c r="S117" s="83">
        <f>charco2woodgw*B117</f>
        <v>0</v>
      </c>
      <c r="T117" s="83">
        <f>NOx_wood_oxidantcharfact/0.62*D117</f>
        <v>3.0373422159887798E-2</v>
      </c>
      <c r="U117" s="83">
        <f>CO2_fruitandveg_charfact*B117</f>
        <v>5.8765932318873481E-3</v>
      </c>
      <c r="V117" s="83">
        <f>CO2_meatandfish_charfact*B117</f>
        <v>2.3150215761980467E-3</v>
      </c>
      <c r="W117" s="83">
        <f>CO2_drinkingwater_charfact*B117</f>
        <v>0.28255135135135134</v>
      </c>
      <c r="X117" s="83">
        <f>CO2_irrigationwater_charfact*B117</f>
        <v>0.56510270270270269</v>
      </c>
      <c r="Y117" s="83">
        <f>CO2_housing_charfact*B117</f>
        <v>8.9698841698841695E-8</v>
      </c>
      <c r="Z117" s="83">
        <f>CO2_separations_charfact*B117</f>
        <v>1.0193050193050191E-6</v>
      </c>
      <c r="AA117" s="83">
        <f>CO2_NEX_charfact*B117</f>
        <v>1.0193050193050192E-15</v>
      </c>
      <c r="AB117" s="131">
        <f>(H117+I117+J117+K117)*YOLLvalue+L117*malnutrition+M117*working_capacity+N117*diarrhea+O117*asthmacasesvalue+P117*COPDvalue+(Q117+R117)*cropvalue+(S117+T117)*woodvalue+U117*Fruitandveg_value+V117*fishandmeatvalue+W117*drinkingwatervalue+X117*irrigationwatervalue+Y117*housingvalue+Z117*migrationvalue+AA117*speciesvalue</f>
        <v>17.087661968823266</v>
      </c>
    </row>
    <row r="118" spans="1:30">
      <c r="A118" t="s">
        <v>709</v>
      </c>
      <c r="B118">
        <v>4.5</v>
      </c>
      <c r="C118">
        <v>2</v>
      </c>
      <c r="D118">
        <v>0.52</v>
      </c>
      <c r="F118">
        <v>0.11</v>
      </c>
      <c r="H118" s="83">
        <f>B118*charco2yoll</f>
        <v>2.9200153204633203E-6</v>
      </c>
      <c r="I118" s="83">
        <f>D118*NOx_YOLL_Oxidant_charfact/0.62</f>
        <v>2.9850724935457074E-6</v>
      </c>
      <c r="J118" s="83">
        <f>F118*PM2.5_YOLL_charfact</f>
        <v>3.2567254270146715E-4</v>
      </c>
      <c r="L118" s="83">
        <f>CO2_malnutrition_charfact*B118</f>
        <v>1.0763861003861002E-5</v>
      </c>
      <c r="M118" s="83">
        <f>CO2_workingcapacity_charfact*B118</f>
        <v>5.2473822393822384E-6</v>
      </c>
      <c r="N118" s="83">
        <f>CO2_diarrhea_charfact*B118</f>
        <v>7.1759073359073361E-8</v>
      </c>
      <c r="O118" s="83">
        <f>PM2.5_asthmacases_charfact*F118</f>
        <v>5.3127359999999993E-6</v>
      </c>
      <c r="P118" s="83">
        <f>PM2.5_COPD_charfact*F118</f>
        <v>4.1469999999999997E-7</v>
      </c>
      <c r="Q118" s="83">
        <f>CO2_crop_charfact*B118</f>
        <v>4.9067544855780146E-2</v>
      </c>
      <c r="R118" s="83">
        <f>charnoxcrop/0.62*D118</f>
        <v>0.61756322671130615</v>
      </c>
      <c r="S118" s="83">
        <f>charco2woodgw*B118</f>
        <v>0</v>
      </c>
      <c r="T118" s="83">
        <f>NOx_wood_oxidantcharfact/0.62*D118</f>
        <v>4.7861150070126229E-2</v>
      </c>
      <c r="U118" s="83">
        <f>CO2_fruitandveg_charfact*B118</f>
        <v>5.8765932318873481E-3</v>
      </c>
      <c r="V118" s="83">
        <f>CO2_meatandfish_charfact*B118</f>
        <v>2.3150215761980467E-3</v>
      </c>
      <c r="W118" s="83">
        <f>CO2_drinkingwater_charfact*B118</f>
        <v>0.28255135135135134</v>
      </c>
      <c r="X118" s="83">
        <f>CO2_irrigationwater_charfact*B118</f>
        <v>0.56510270270270269</v>
      </c>
      <c r="Y118" s="83">
        <f>CO2_housing_charfact*B118</f>
        <v>8.9698841698841695E-8</v>
      </c>
      <c r="Z118" s="83">
        <f>CO2_separations_charfact*B118</f>
        <v>1.0193050193050191E-6</v>
      </c>
      <c r="AA118" s="83">
        <f>CO2_NEX_charfact*B118</f>
        <v>1.0193050193050192E-15</v>
      </c>
      <c r="AB118" s="131">
        <f>(H118+I118+J118+K118)*YOLLvalue+L118*malnutrition+M118*working_capacity+N118*diarrhea+O118*asthmacasesvalue+P118*COPDvalue+(Q118+R118)*cropvalue+(S118+T118)*woodvalue+U118*Fruitandveg_value+V118*fishandmeatvalue+W118*drinkingwatervalue+X118*irrigationwatervalue+Y118*housingvalue+Z118*migrationvalue+AA118*speciesvalue</f>
        <v>17.192539038642014</v>
      </c>
    </row>
    <row r="119" spans="1:30">
      <c r="A119" t="s">
        <v>710</v>
      </c>
      <c r="B119">
        <v>4.5</v>
      </c>
      <c r="C119">
        <v>2</v>
      </c>
      <c r="D119">
        <v>0.49</v>
      </c>
      <c r="F119">
        <v>0.11</v>
      </c>
      <c r="H119" s="83">
        <f>B119*charco2yoll</f>
        <v>2.9200153204633203E-6</v>
      </c>
      <c r="I119" s="83">
        <f>D119*NOx_YOLL_Oxidant_charfact/0.62</f>
        <v>2.8128567727642237E-6</v>
      </c>
      <c r="J119" s="83">
        <f>F119*PM2.5_YOLL_charfact</f>
        <v>3.2567254270146715E-4</v>
      </c>
      <c r="L119" s="83">
        <f>CO2_malnutrition_charfact*B119</f>
        <v>1.0763861003861002E-5</v>
      </c>
      <c r="M119" s="83">
        <f>CO2_workingcapacity_charfact*B119</f>
        <v>5.2473822393822384E-6</v>
      </c>
      <c r="N119" s="83">
        <f>CO2_diarrhea_charfact*B119</f>
        <v>7.1759073359073361E-8</v>
      </c>
      <c r="O119" s="83">
        <f>PM2.5_asthmacases_charfact*F119</f>
        <v>5.3127359999999993E-6</v>
      </c>
      <c r="P119" s="83">
        <f>PM2.5_COPD_charfact*F119</f>
        <v>4.1469999999999997E-7</v>
      </c>
      <c r="Q119" s="83">
        <f>CO2_crop_charfact*B119</f>
        <v>4.9067544855780146E-2</v>
      </c>
      <c r="R119" s="83">
        <f>charnoxcrop/0.62*D119</f>
        <v>0.58193457901642309</v>
      </c>
      <c r="S119" s="83">
        <f>charco2woodgw*B119</f>
        <v>0</v>
      </c>
      <c r="T119" s="83">
        <f>NOx_wood_oxidantcharfact/0.62*D119</f>
        <v>4.5099929873772794E-2</v>
      </c>
      <c r="U119" s="83">
        <f>CO2_fruitandveg_charfact*B119</f>
        <v>5.8765932318873481E-3</v>
      </c>
      <c r="V119" s="83">
        <f>CO2_meatandfish_charfact*B119</f>
        <v>2.3150215761980467E-3</v>
      </c>
      <c r="W119" s="83">
        <f>CO2_drinkingwater_charfact*B119</f>
        <v>0.28255135135135134</v>
      </c>
      <c r="X119" s="83">
        <f>CO2_irrigationwater_charfact*B119</f>
        <v>0.56510270270270269</v>
      </c>
      <c r="Y119" s="83">
        <f>CO2_housing_charfact*B119</f>
        <v>8.9698841698841695E-8</v>
      </c>
      <c r="Z119" s="83">
        <f>CO2_separations_charfact*B119</f>
        <v>1.0193050193050191E-6</v>
      </c>
      <c r="AA119" s="83">
        <f>CO2_NEX_charfact*B119</f>
        <v>1.0193050193050192E-15</v>
      </c>
      <c r="AB119" s="131">
        <f>(H119+I119+J119+K119)*YOLLvalue+L119*malnutrition+M119*working_capacity+N119*diarrhea+O119*asthmacasesvalue+P119*COPDvalue+(Q119+R119)*cropvalue+(S119+T119)*woodvalue+U119*Fruitandveg_value+V119*fishandmeatvalue+W119*drinkingwatervalue+X119*irrigationwatervalue+Y119*housingvalue+Z119*migrationvalue+AA119*speciesvalue</f>
        <v>17.175979501302216</v>
      </c>
    </row>
    <row r="120" spans="1:30">
      <c r="A120" t="s">
        <v>627</v>
      </c>
      <c r="B120">
        <v>4.5</v>
      </c>
      <c r="C120">
        <v>2</v>
      </c>
      <c r="D120">
        <v>0.47599999999999998</v>
      </c>
      <c r="F120">
        <v>0.11</v>
      </c>
      <c r="H120" s="83">
        <f>B120*charco2yoll</f>
        <v>2.9200153204633203E-6</v>
      </c>
      <c r="I120" s="83">
        <f>D120*NOx_YOLL_Oxidant_charfact/0.62</f>
        <v>2.7324894363995318E-6</v>
      </c>
      <c r="J120" s="83">
        <f>F120*PM2.5_YOLL_charfact</f>
        <v>3.2567254270146715E-4</v>
      </c>
      <c r="L120" s="83">
        <f>CO2_malnutrition_charfact*B120</f>
        <v>1.0763861003861002E-5</v>
      </c>
      <c r="M120" s="83">
        <f>CO2_workingcapacity_charfact*B120</f>
        <v>5.2473822393822384E-6</v>
      </c>
      <c r="N120" s="83">
        <f>CO2_diarrhea_charfact*B120</f>
        <v>7.1759073359073361E-8</v>
      </c>
      <c r="O120" s="83">
        <f>PM2.5_asthmacases_charfact*F120</f>
        <v>5.3127359999999993E-6</v>
      </c>
      <c r="P120" s="83">
        <f>PM2.5_COPD_charfact*F120</f>
        <v>4.1469999999999997E-7</v>
      </c>
      <c r="Q120" s="83">
        <f>CO2_crop_charfact*B120</f>
        <v>4.9067544855780146E-2</v>
      </c>
      <c r="R120" s="83">
        <f>charnoxcrop/0.62*D120</f>
        <v>0.565307876758811</v>
      </c>
      <c r="S120" s="83">
        <f>charco2woodgw*B120</f>
        <v>0</v>
      </c>
      <c r="T120" s="83">
        <f>NOx_wood_oxidantcharfact/0.62*D120</f>
        <v>4.3811360448807853E-2</v>
      </c>
      <c r="U120" s="83">
        <f>CO2_fruitandveg_charfact*B120</f>
        <v>5.8765932318873481E-3</v>
      </c>
      <c r="V120" s="83">
        <f>CO2_meatandfish_charfact*B120</f>
        <v>2.3150215761980467E-3</v>
      </c>
      <c r="W120" s="83">
        <f>CO2_drinkingwater_charfact*B120</f>
        <v>0.28255135135135134</v>
      </c>
      <c r="X120" s="83">
        <f>CO2_irrigationwater_charfact*B120</f>
        <v>0.56510270270270269</v>
      </c>
      <c r="Y120" s="83">
        <f>CO2_housing_charfact*B120</f>
        <v>8.9698841698841695E-8</v>
      </c>
      <c r="Z120" s="83">
        <f>CO2_separations_charfact*B120</f>
        <v>1.0193050193050191E-6</v>
      </c>
      <c r="AA120" s="83">
        <f>CO2_NEX_charfact*B120</f>
        <v>1.0193050193050192E-15</v>
      </c>
      <c r="AB120" s="131">
        <f>(H120+I120+J120+K120)*YOLLvalue+L120*malnutrition+M120*working_capacity+N120*diarrhea+O120*asthmacasesvalue+P120*COPDvalue+(Q120+R120)*cropvalue+(S120+T120)*woodvalue+U120*Fruitandveg_value+V120*fishandmeatvalue+W120*drinkingwatervalue+X120*irrigationwatervalue+Y120*housingvalue+Z120*migrationvalue+AA120*speciesvalue</f>
        <v>17.16825171721031</v>
      </c>
    </row>
    <row r="121" spans="1:30">
      <c r="A121" t="s">
        <v>712</v>
      </c>
      <c r="B121">
        <v>4.5</v>
      </c>
      <c r="C121">
        <v>2</v>
      </c>
      <c r="D121">
        <v>0.214</v>
      </c>
      <c r="F121">
        <v>0.11</v>
      </c>
      <c r="H121" s="83">
        <f>B121*charco2yoll</f>
        <v>2.9200153204633203E-6</v>
      </c>
      <c r="I121" s="83">
        <f>D121*NOx_YOLL_Oxidant_charfact/0.62</f>
        <v>1.2284721415745795E-6</v>
      </c>
      <c r="J121" s="83">
        <f>F121*PM2.5_YOLL_charfact</f>
        <v>3.2567254270146715E-4</v>
      </c>
      <c r="L121" s="83">
        <f>CO2_malnutrition_charfact*B121</f>
        <v>1.0763861003861002E-5</v>
      </c>
      <c r="M121" s="83">
        <f>CO2_workingcapacity_charfact*B121</f>
        <v>5.2473822393822384E-6</v>
      </c>
      <c r="N121" s="83">
        <f>CO2_diarrhea_charfact*B121</f>
        <v>7.1759073359073361E-8</v>
      </c>
      <c r="O121" s="83">
        <f>PM2.5_asthmacases_charfact*F121</f>
        <v>5.3127359999999993E-6</v>
      </c>
      <c r="P121" s="83">
        <f>PM2.5_COPD_charfact*F121</f>
        <v>4.1469999999999997E-7</v>
      </c>
      <c r="Q121" s="83">
        <f>CO2_crop_charfact*B121</f>
        <v>4.9067544855780146E-2</v>
      </c>
      <c r="R121" s="83">
        <f>charnoxcrop/0.62*D121</f>
        <v>0.25415102022349906</v>
      </c>
      <c r="S121" s="83">
        <f>charco2woodgw*B121</f>
        <v>0</v>
      </c>
      <c r="T121" s="83">
        <f>NOx_wood_oxidantcharfact/0.62*D121</f>
        <v>1.9696704067321179E-2</v>
      </c>
      <c r="U121" s="83">
        <f>CO2_fruitandveg_charfact*B121</f>
        <v>5.8765932318873481E-3</v>
      </c>
      <c r="V121" s="83">
        <f>CO2_meatandfish_charfact*B121</f>
        <v>2.3150215761980467E-3</v>
      </c>
      <c r="W121" s="83">
        <f>CO2_drinkingwater_charfact*B121</f>
        <v>0.28255135135135134</v>
      </c>
      <c r="X121" s="83">
        <f>CO2_irrigationwater_charfact*B121</f>
        <v>0.56510270270270269</v>
      </c>
      <c r="Y121" s="83">
        <f>CO2_housing_charfact*B121</f>
        <v>8.9698841698841695E-8</v>
      </c>
      <c r="Z121" s="83">
        <f>CO2_separations_charfact*B121</f>
        <v>1.0193050193050191E-6</v>
      </c>
      <c r="AA121" s="83">
        <f>CO2_NEX_charfact*B121</f>
        <v>1.0193050193050192E-15</v>
      </c>
      <c r="AB121" s="131">
        <f>(H121+I121+J121+K121)*YOLLvalue+L121*malnutrition+M121*working_capacity+N121*diarrhea+O121*asthmacasesvalue+P121*COPDvalue+(Q121+R121)*cropvalue+(S121+T121)*woodvalue+U121*Fruitandveg_value+V121*fishandmeatvalue+W121*drinkingwatervalue+X121*irrigationwatervalue+Y121*housingvalue+Z121*migrationvalue+AA121*speciesvalue</f>
        <v>17.02363175777603</v>
      </c>
    </row>
    <row r="122" spans="1:30">
      <c r="A122" s="44" t="s">
        <v>725</v>
      </c>
      <c r="AB122" s="200"/>
    </row>
    <row r="123" spans="1:30">
      <c r="A123" s="5" t="s">
        <v>726</v>
      </c>
      <c r="B123">
        <v>4.5</v>
      </c>
      <c r="C123">
        <v>2</v>
      </c>
      <c r="D123">
        <v>0.3</v>
      </c>
      <c r="F123">
        <v>0.11</v>
      </c>
      <c r="H123" s="83">
        <f>B123*charco2yoll</f>
        <v>2.9200153204633203E-6</v>
      </c>
      <c r="I123" s="83">
        <f>D123*NOx_YOLL_Oxidant_charfact/0.62</f>
        <v>1.722157207814831E-6</v>
      </c>
      <c r="J123" s="83">
        <f>F123*PM2.5_YOLL_charfact</f>
        <v>3.2567254270146715E-4</v>
      </c>
      <c r="L123" s="83">
        <f>CO2_malnutrition_charfact*B123</f>
        <v>1.0763861003861002E-5</v>
      </c>
      <c r="M123" s="83">
        <f>CO2_workingcapacity_charfact*B123</f>
        <v>5.2473822393822384E-6</v>
      </c>
      <c r="N123" s="83">
        <f>CO2_diarrhea_charfact*B123</f>
        <v>7.1759073359073361E-8</v>
      </c>
      <c r="O123" s="83">
        <f>PM2.5_asthmacases_charfact*F123</f>
        <v>5.3127359999999993E-6</v>
      </c>
      <c r="P123" s="83">
        <f>PM2.5_COPD_charfact*F123</f>
        <v>4.1469999999999997E-7</v>
      </c>
      <c r="Q123" s="83">
        <f>CO2_crop_charfact*B123</f>
        <v>4.9067544855780146E-2</v>
      </c>
      <c r="R123" s="83">
        <f>charnoxcrop/0.62*D123</f>
        <v>0.35628647694883048</v>
      </c>
      <c r="S123" s="83">
        <f>charco2woodgw*B123</f>
        <v>0</v>
      </c>
      <c r="T123" s="83">
        <f>NOx_wood_oxidantcharfact/0.62*D123</f>
        <v>2.7612201963534363E-2</v>
      </c>
      <c r="U123" s="83">
        <f>CO2_fruitandveg_charfact*B123</f>
        <v>5.8765932318873481E-3</v>
      </c>
      <c r="V123" s="83">
        <f>CO2_meatandfish_charfact*B123</f>
        <v>2.3150215761980467E-3</v>
      </c>
      <c r="W123" s="83">
        <f>CO2_drinkingwater_charfact*B123</f>
        <v>0.28255135135135134</v>
      </c>
      <c r="X123" s="83">
        <f>CO2_irrigationwater_charfact*B123</f>
        <v>0.56510270270270269</v>
      </c>
      <c r="Y123" s="83">
        <f>CO2_housing_charfact*B123</f>
        <v>8.9698841698841695E-8</v>
      </c>
      <c r="Z123" s="83">
        <f>CO2_separations_charfact*B123</f>
        <v>1.0193050193050191E-6</v>
      </c>
      <c r="AA123" s="83">
        <f>CO2_NEX_charfact*B123</f>
        <v>1.0193050193050192E-15</v>
      </c>
      <c r="AB123" s="131">
        <f>(H123+I123+J123+K123)*YOLLvalue+L123*malnutrition+M123*working_capacity+N123*diarrhea+O123*asthmacasesvalue+P123*COPDvalue+(Q123+R123)*cropvalue+(S123+T123)*woodvalue+U123*Fruitandveg_value+V123*fishandmeatvalue+W123*drinkingwatervalue+X123*irrigationwatervalue+Y123*housingvalue+Z123*migrationvalue+AA123*speciesvalue</f>
        <v>17.071102431483464</v>
      </c>
    </row>
    <row r="124" spans="1:30">
      <c r="A124" s="5" t="s">
        <v>727</v>
      </c>
      <c r="B124">
        <v>4.5</v>
      </c>
      <c r="C124">
        <v>2</v>
      </c>
      <c r="D124">
        <v>0.38700000000000001</v>
      </c>
      <c r="F124">
        <v>0.11</v>
      </c>
      <c r="H124" s="83">
        <f>B124*charco2yoll</f>
        <v>2.9200153204633203E-6</v>
      </c>
      <c r="I124" s="83">
        <f>D124*NOx_YOLL_Oxidant_charfact/0.62</f>
        <v>2.2215827980811323E-6</v>
      </c>
      <c r="J124" s="83">
        <f>F124*PM2.5_YOLL_charfact</f>
        <v>3.2567254270146715E-4</v>
      </c>
      <c r="L124" s="83">
        <f>CO2_malnutrition_charfact*B124</f>
        <v>1.0763861003861002E-5</v>
      </c>
      <c r="M124" s="83">
        <f>CO2_workingcapacity_charfact*B124</f>
        <v>5.2473822393822384E-6</v>
      </c>
      <c r="N124" s="83">
        <f>CO2_diarrhea_charfact*B124</f>
        <v>7.1759073359073361E-8</v>
      </c>
      <c r="O124" s="83">
        <f>PM2.5_asthmacases_charfact*F124</f>
        <v>5.3127359999999993E-6</v>
      </c>
      <c r="P124" s="83">
        <f>PM2.5_COPD_charfact*F124</f>
        <v>4.1469999999999997E-7</v>
      </c>
      <c r="Q124" s="83">
        <f>CO2_crop_charfact*B124</f>
        <v>4.9067544855780146E-2</v>
      </c>
      <c r="R124" s="83">
        <f>charnoxcrop/0.62*D124</f>
        <v>0.45960955526399133</v>
      </c>
      <c r="S124" s="83">
        <f>charco2woodgw*B124</f>
        <v>0</v>
      </c>
      <c r="T124" s="83">
        <f>NOx_wood_oxidantcharfact/0.62*D124</f>
        <v>3.5619740532959326E-2</v>
      </c>
      <c r="U124" s="83">
        <f>CO2_fruitandveg_charfact*B124</f>
        <v>5.8765932318873481E-3</v>
      </c>
      <c r="V124" s="83">
        <f>CO2_meatandfish_charfact*B124</f>
        <v>2.3150215761980467E-3</v>
      </c>
      <c r="W124" s="83">
        <f>CO2_drinkingwater_charfact*B124</f>
        <v>0.28255135135135134</v>
      </c>
      <c r="X124" s="83">
        <f>CO2_irrigationwater_charfact*B124</f>
        <v>0.56510270270270269</v>
      </c>
      <c r="Y124" s="83">
        <f>CO2_housing_charfact*B124</f>
        <v>8.9698841698841695E-8</v>
      </c>
      <c r="Z124" s="83">
        <f>CO2_separations_charfact*B124</f>
        <v>1.0193050193050191E-6</v>
      </c>
      <c r="AA124" s="83">
        <f>CO2_NEX_charfact*B124</f>
        <v>1.0193050193050192E-15</v>
      </c>
      <c r="AB124" s="131">
        <f>(H124+I124+J124+K124)*YOLLvalue+L124*malnutrition+M124*working_capacity+N124*diarrhea+O124*asthmacasesvalue+P124*COPDvalue+(Q124+R124)*cropvalue+(S124+T124)*woodvalue+U124*Fruitandveg_value+V124*fishandmeatvalue+W124*drinkingwatervalue+X124*irrigationwatervalue+Y124*housingvalue+Z124*migrationvalue+AA124*speciesvalue</f>
        <v>17.11912508976889</v>
      </c>
    </row>
    <row r="125" spans="1:30">
      <c r="A125" s="45" t="s">
        <v>1528</v>
      </c>
      <c r="B125">
        <v>4.5</v>
      </c>
      <c r="C125">
        <v>2</v>
      </c>
      <c r="D125">
        <v>0.436</v>
      </c>
      <c r="F125">
        <v>0.11</v>
      </c>
      <c r="H125" s="83">
        <f>B125*charco2yoll</f>
        <v>2.9200153204633203E-6</v>
      </c>
      <c r="I125" s="83">
        <f>D125*NOx_YOLL_Oxidant_charfact/0.62</f>
        <v>2.5028684753575545E-6</v>
      </c>
      <c r="J125" s="83">
        <f>F125*PM2.5_YOLL_charfact</f>
        <v>3.2567254270146715E-4</v>
      </c>
      <c r="L125" s="83">
        <f>CO2_malnutrition_charfact*B125</f>
        <v>1.0763861003861002E-5</v>
      </c>
      <c r="M125" s="83">
        <f>CO2_workingcapacity_charfact*B125</f>
        <v>5.2473822393822384E-6</v>
      </c>
      <c r="N125" s="83">
        <f>CO2_diarrhea_charfact*B125</f>
        <v>7.1759073359073361E-8</v>
      </c>
      <c r="O125" s="83">
        <f>PM2.5_asthmacases_charfact*F125</f>
        <v>5.3127359999999993E-6</v>
      </c>
      <c r="P125" s="83">
        <f>PM2.5_COPD_charfact*F125</f>
        <v>4.1469999999999997E-7</v>
      </c>
      <c r="Q125" s="83">
        <f>CO2_crop_charfact*B125</f>
        <v>4.9067544855780146E-2</v>
      </c>
      <c r="R125" s="83">
        <f>charnoxcrop/0.62*D125</f>
        <v>0.5178030131656336</v>
      </c>
      <c r="S125" s="83">
        <f>charco2woodgw*B125</f>
        <v>0</v>
      </c>
      <c r="T125" s="83">
        <f>NOx_wood_oxidantcharfact/0.62*D125</f>
        <v>4.0129733520336608E-2</v>
      </c>
      <c r="U125" s="83">
        <f>CO2_fruitandveg_charfact*B125</f>
        <v>5.8765932318873481E-3</v>
      </c>
      <c r="V125" s="83">
        <f>CO2_meatandfish_charfact*B125</f>
        <v>2.3150215761980467E-3</v>
      </c>
      <c r="W125" s="83">
        <f>CO2_drinkingwater_charfact*B125</f>
        <v>0.28255135135135134</v>
      </c>
      <c r="X125" s="83">
        <f>CO2_irrigationwater_charfact*B125</f>
        <v>0.56510270270270269</v>
      </c>
      <c r="Y125" s="83">
        <f>CO2_housing_charfact*B125</f>
        <v>8.9698841698841695E-8</v>
      </c>
      <c r="Z125" s="83">
        <f>CO2_separations_charfact*B125</f>
        <v>1.0193050193050191E-6</v>
      </c>
      <c r="AA125" s="83">
        <f>CO2_NEX_charfact*B125</f>
        <v>1.0193050193050192E-15</v>
      </c>
      <c r="AB125" s="131">
        <f>(H125+I125+J125+K125)*YOLLvalue+L125*malnutrition+M125*working_capacity+N125*diarrhea+O125*asthmacasesvalue+P125*COPDvalue+(Q125+R125)*cropvalue+(S125+T125)*woodvalue+U125*Fruitandveg_value+V125*fishandmeatvalue+W125*drinkingwatervalue+X125*irrigationwatervalue+Y125*housingvalue+Z125*migrationvalue+AA125*speciesvalue</f>
        <v>17.146172334090569</v>
      </c>
    </row>
    <row r="126" spans="1:30">
      <c r="A126" s="5" t="s">
        <v>728</v>
      </c>
      <c r="B126">
        <v>4.5</v>
      </c>
      <c r="C126">
        <v>2</v>
      </c>
      <c r="D126">
        <v>0.438</v>
      </c>
      <c r="F126">
        <v>0.11</v>
      </c>
      <c r="H126" s="83">
        <f>B126*charco2yoll</f>
        <v>2.9200153204633203E-6</v>
      </c>
      <c r="I126" s="83">
        <f>D126*NOx_YOLL_Oxidant_charfact/0.62</f>
        <v>2.5143495234096531E-6</v>
      </c>
      <c r="J126" s="83">
        <f>F126*PM2.5_YOLL_charfact</f>
        <v>3.2567254270146715E-4</v>
      </c>
      <c r="L126" s="83">
        <f>CO2_malnutrition_charfact*B126</f>
        <v>1.0763861003861002E-5</v>
      </c>
      <c r="M126" s="83">
        <f>CO2_workingcapacity_charfact*B126</f>
        <v>5.2473822393822384E-6</v>
      </c>
      <c r="N126" s="83">
        <f>CO2_diarrhea_charfact*B126</f>
        <v>7.1759073359073361E-8</v>
      </c>
      <c r="O126" s="83">
        <f>PM2.5_asthmacases_charfact*F126</f>
        <v>5.3127359999999993E-6</v>
      </c>
      <c r="P126" s="83">
        <f>PM2.5_COPD_charfact*F126</f>
        <v>4.1469999999999997E-7</v>
      </c>
      <c r="Q126" s="83">
        <f>CO2_crop_charfact*B126</f>
        <v>4.9067544855780146E-2</v>
      </c>
      <c r="R126" s="83">
        <f>charnoxcrop/0.62*D126</f>
        <v>0.52017825634529247</v>
      </c>
      <c r="S126" s="83">
        <f>charco2woodgw*B126</f>
        <v>0</v>
      </c>
      <c r="T126" s="83">
        <f>NOx_wood_oxidantcharfact/0.62*D126</f>
        <v>4.0313814866760167E-2</v>
      </c>
      <c r="U126" s="83">
        <f>CO2_fruitandveg_charfact*B126</f>
        <v>5.8765932318873481E-3</v>
      </c>
      <c r="V126" s="83">
        <f>CO2_meatandfish_charfact*B126</f>
        <v>2.3150215761980467E-3</v>
      </c>
      <c r="W126" s="83">
        <f>CO2_drinkingwater_charfact*B126</f>
        <v>0.28255135135135134</v>
      </c>
      <c r="X126" s="83">
        <f>CO2_irrigationwater_charfact*B126</f>
        <v>0.56510270270270269</v>
      </c>
      <c r="Y126" s="83">
        <f>CO2_housing_charfact*B126</f>
        <v>8.9698841698841695E-8</v>
      </c>
      <c r="Z126" s="83">
        <f>CO2_separations_charfact*B126</f>
        <v>1.0193050193050191E-6</v>
      </c>
      <c r="AA126" s="83">
        <f>CO2_NEX_charfact*B126</f>
        <v>1.0193050193050192E-15</v>
      </c>
      <c r="AB126" s="131">
        <f>(H126+I126+J126+K126)*YOLLvalue+L126*malnutrition+M126*working_capacity+N126*diarrhea+O126*asthmacasesvalue+P126*COPDvalue+(Q126+R126)*cropvalue+(S126+T126)*woodvalue+U126*Fruitandveg_value+V126*fishandmeatvalue+W126*drinkingwatervalue+X126*irrigationwatervalue+Y126*housingvalue+Z126*migrationvalue+AA126*speciesvalue</f>
        <v>17.147276303246556</v>
      </c>
      <c r="AD126" s="69"/>
    </row>
    <row r="127" spans="1:30">
      <c r="A127" s="5" t="s">
        <v>613</v>
      </c>
      <c r="B127">
        <v>4.5</v>
      </c>
      <c r="C127">
        <v>2</v>
      </c>
      <c r="D127">
        <v>0.36799999999999999</v>
      </c>
      <c r="F127">
        <v>0.11</v>
      </c>
      <c r="H127" s="83">
        <f>B127*charco2yoll</f>
        <v>2.9200153204633203E-6</v>
      </c>
      <c r="I127" s="83">
        <f>D127*NOx_YOLL_Oxidant_charfact/0.62</f>
        <v>2.1125128415861925E-6</v>
      </c>
      <c r="J127" s="83">
        <f>F127*PM2.5_YOLL_charfact</f>
        <v>3.2567254270146715E-4</v>
      </c>
      <c r="L127" s="83">
        <f>CO2_malnutrition_charfact*B127</f>
        <v>1.0763861003861002E-5</v>
      </c>
      <c r="M127" s="83">
        <f>CO2_workingcapacity_charfact*B127</f>
        <v>5.2473822393822384E-6</v>
      </c>
      <c r="N127" s="83">
        <f>CO2_diarrhea_charfact*B127</f>
        <v>7.1759073359073361E-8</v>
      </c>
      <c r="O127" s="83">
        <f>PM2.5_asthmacases_charfact*F127</f>
        <v>5.3127359999999993E-6</v>
      </c>
      <c r="P127" s="83">
        <f>PM2.5_COPD_charfact*F127</f>
        <v>4.1469999999999997E-7</v>
      </c>
      <c r="Q127" s="83">
        <f>CO2_crop_charfact*B127</f>
        <v>4.9067544855780146E-2</v>
      </c>
      <c r="R127" s="83">
        <f>charnoxcrop/0.62*D127</f>
        <v>0.43704474505723201</v>
      </c>
      <c r="S127" s="83">
        <f>charco2woodgw*B127</f>
        <v>0</v>
      </c>
      <c r="T127" s="83">
        <f>NOx_wood_oxidantcharfact/0.62*D127</f>
        <v>3.3870967741935487E-2</v>
      </c>
      <c r="U127" s="83">
        <f>CO2_fruitandveg_charfact*B127</f>
        <v>5.8765932318873481E-3</v>
      </c>
      <c r="V127" s="83">
        <f>CO2_meatandfish_charfact*B127</f>
        <v>2.3150215761980467E-3</v>
      </c>
      <c r="W127" s="83">
        <f>CO2_drinkingwater_charfact*B127</f>
        <v>0.28255135135135134</v>
      </c>
      <c r="X127" s="83">
        <f>CO2_irrigationwater_charfact*B127</f>
        <v>0.56510270270270269</v>
      </c>
      <c r="Y127" s="83">
        <f>CO2_housing_charfact*B127</f>
        <v>8.9698841698841695E-8</v>
      </c>
      <c r="Z127" s="83">
        <f>CO2_separations_charfact*B127</f>
        <v>1.0193050193050191E-6</v>
      </c>
      <c r="AA127" s="83">
        <f>CO2_NEX_charfact*B127</f>
        <v>1.0193050193050192E-15</v>
      </c>
      <c r="AB127" s="131">
        <f>(H127+I127+J127+K127)*YOLLvalue+L127*malnutrition+M127*working_capacity+N127*diarrhea+O127*asthmacasesvalue+P127*COPDvalue+(Q127+R127)*cropvalue+(S127+T127)*woodvalue+U127*Fruitandveg_value+V127*fishandmeatvalue+W127*drinkingwatervalue+X127*irrigationwatervalue+Y127*housingvalue+Z127*migrationvalue+AA127*speciesvalue</f>
        <v>17.108637382787016</v>
      </c>
    </row>
    <row r="128" spans="1:30">
      <c r="A128" s="44" t="s">
        <v>729</v>
      </c>
      <c r="AB128" s="200"/>
    </row>
    <row r="129" spans="1:28">
      <c r="A129" t="s">
        <v>644</v>
      </c>
      <c r="B129">
        <v>4.5</v>
      </c>
      <c r="C129">
        <v>2</v>
      </c>
      <c r="D129">
        <v>3.2000000000000001E-2</v>
      </c>
      <c r="F129">
        <v>0.11</v>
      </c>
      <c r="H129" s="83">
        <f>B129*charco2yoll</f>
        <v>2.9200153204633203E-6</v>
      </c>
      <c r="I129" s="83">
        <f>D129*NOx_YOLL_Oxidant_charfact/0.62</f>
        <v>1.8369676883358197E-7</v>
      </c>
      <c r="J129" s="83">
        <f>F129*PM2.5_YOLL_charfact</f>
        <v>3.2567254270146715E-4</v>
      </c>
      <c r="L129" s="83">
        <f>CO2_malnutrition_charfact*B129</f>
        <v>1.0763861003861002E-5</v>
      </c>
      <c r="M129" s="83">
        <f>CO2_workingcapacity_charfact*B129</f>
        <v>5.2473822393822384E-6</v>
      </c>
      <c r="N129" s="83">
        <f>CO2_diarrhea_charfact*B129</f>
        <v>7.1759073359073361E-8</v>
      </c>
      <c r="O129" s="83">
        <f>PM2.5_asthmacases_charfact*F129</f>
        <v>5.3127359999999993E-6</v>
      </c>
      <c r="P129" s="83">
        <f>PM2.5_COPD_charfact*F129</f>
        <v>4.1469999999999997E-7</v>
      </c>
      <c r="Q129" s="83">
        <f>CO2_crop_charfact*B129</f>
        <v>4.9067544855780146E-2</v>
      </c>
      <c r="R129" s="83">
        <f>charnoxcrop/0.62*D129</f>
        <v>3.8003890874541917E-2</v>
      </c>
      <c r="S129" s="83">
        <f>charco2woodgw*B129</f>
        <v>0</v>
      </c>
      <c r="T129" s="83">
        <f>NOx_wood_oxidantcharfact/0.62*D129</f>
        <v>2.9453015427769987E-3</v>
      </c>
      <c r="U129" s="83">
        <f>CO2_fruitandveg_charfact*B129</f>
        <v>5.8765932318873481E-3</v>
      </c>
      <c r="V129" s="83">
        <f>CO2_meatandfish_charfact*B129</f>
        <v>2.3150215761980467E-3</v>
      </c>
      <c r="W129" s="83">
        <f>CO2_drinkingwater_charfact*B129</f>
        <v>0.28255135135135134</v>
      </c>
      <c r="X129" s="83">
        <f>CO2_irrigationwater_charfact*B129</f>
        <v>0.56510270270270269</v>
      </c>
      <c r="Y129" s="83">
        <f>CO2_housing_charfact*B129</f>
        <v>8.9698841698841695E-8</v>
      </c>
      <c r="Z129" s="83">
        <f>CO2_separations_charfact*B129</f>
        <v>1.0193050193050191E-6</v>
      </c>
      <c r="AA129" s="83">
        <f>CO2_NEX_charfact*B129</f>
        <v>1.0193050193050192E-15</v>
      </c>
      <c r="AB129" s="131">
        <f>(H129+I129+J129+K129)*YOLLvalue+L129*malnutrition+M129*working_capacity+N129*diarrhea+O129*asthmacasesvalue+P129*COPDvalue+(Q129+R129)*cropvalue+(S129+T129)*woodvalue+U129*Fruitandveg_value+V129*fishandmeatvalue+W129*drinkingwatervalue+X129*irrigationwatervalue+Y129*housingvalue+Z129*migrationvalue+AA129*speciesvalue</f>
        <v>16.923170564581223</v>
      </c>
    </row>
    <row r="130" spans="1:28">
      <c r="A130" t="s">
        <v>711</v>
      </c>
      <c r="B130">
        <v>4.5</v>
      </c>
      <c r="C130">
        <v>2</v>
      </c>
      <c r="D130">
        <v>0.15</v>
      </c>
      <c r="E130">
        <v>1.3</v>
      </c>
      <c r="F130">
        <v>0.11</v>
      </c>
      <c r="H130" s="83">
        <f>B130*charco2yoll</f>
        <v>2.9200153204633203E-6</v>
      </c>
      <c r="I130" s="83">
        <f>D130*NOx_YOLL_Oxidant_charfact/0.62</f>
        <v>8.6107860390741548E-7</v>
      </c>
      <c r="J130" s="83">
        <f>F130*PM2.5_YOLL_charfact</f>
        <v>3.2567254270146715E-4</v>
      </c>
      <c r="L130" s="83">
        <f>CO2_malnutrition_charfact*B130</f>
        <v>1.0763861003861002E-5</v>
      </c>
      <c r="M130" s="83">
        <f>CO2_workingcapacity_charfact*B130</f>
        <v>5.2473822393822384E-6</v>
      </c>
      <c r="N130" s="83">
        <f>CO2_diarrhea_charfact*B130</f>
        <v>7.1759073359073361E-8</v>
      </c>
      <c r="O130" s="83">
        <f>PM2.5_asthmacases_charfact*F130</f>
        <v>5.3127359999999993E-6</v>
      </c>
      <c r="P130" s="83">
        <f>PM2.5_COPD_charfact*F130</f>
        <v>4.1469999999999997E-7</v>
      </c>
      <c r="Q130" s="83">
        <f>CO2_crop_charfact*B130</f>
        <v>4.9067544855780146E-2</v>
      </c>
      <c r="R130" s="83">
        <f>charnoxcrop/0.62*D130</f>
        <v>0.17814323847441524</v>
      </c>
      <c r="S130" s="83">
        <f>charco2woodgw*B130</f>
        <v>0</v>
      </c>
      <c r="T130" s="83">
        <f>NOx_wood_oxidantcharfact/0.62*D130</f>
        <v>1.3806100981767181E-2</v>
      </c>
      <c r="U130" s="83">
        <f>CO2_fruitandveg_charfact*B130</f>
        <v>5.8765932318873481E-3</v>
      </c>
      <c r="V130" s="83">
        <f>CO2_meatandfish_charfact*B130</f>
        <v>2.3150215761980467E-3</v>
      </c>
      <c r="W130" s="83">
        <f>CO2_drinkingwater_charfact*B130</f>
        <v>0.28255135135135134</v>
      </c>
      <c r="X130" s="83">
        <f>CO2_irrigationwater_charfact*B130</f>
        <v>0.56510270270270269</v>
      </c>
      <c r="Y130" s="83">
        <f>CO2_housing_charfact*B130</f>
        <v>8.9698841698841695E-8</v>
      </c>
      <c r="Z130" s="83">
        <f>CO2_separations_charfact*B130</f>
        <v>1.0193050193050191E-6</v>
      </c>
      <c r="AA130" s="83">
        <f>CO2_NEX_charfact*B130</f>
        <v>1.0193050193050192E-15</v>
      </c>
      <c r="AB130" s="131">
        <f>(H130+I130+J130+K130)*YOLLvalue+L130*malnutrition+M130*working_capacity+N130*diarrhea+O130*asthmacasesvalue+P130*COPDvalue+(Q130+R130)*cropvalue+(S130+T130)*woodvalue+U130*Fruitandveg_value+V130*fishandmeatvalue+W130*drinkingwatervalue+X130*irrigationwatervalue+Y130*housingvalue+Z130*migrationvalue+AA130*speciesvalue</f>
        <v>16.98830474478445</v>
      </c>
    </row>
    <row r="131" spans="1:28">
      <c r="A131" t="s">
        <v>730</v>
      </c>
      <c r="B131">
        <v>4.5</v>
      </c>
      <c r="C131">
        <v>2</v>
      </c>
      <c r="D131">
        <v>0.15</v>
      </c>
      <c r="F131">
        <v>0.11</v>
      </c>
      <c r="H131" s="83">
        <f>B131*charco2yoll</f>
        <v>2.9200153204633203E-6</v>
      </c>
      <c r="I131" s="83">
        <f>D131*NOx_YOLL_Oxidant_charfact/0.62</f>
        <v>8.6107860390741548E-7</v>
      </c>
      <c r="J131" s="83">
        <f>F131*PM2.5_YOLL_charfact</f>
        <v>3.2567254270146715E-4</v>
      </c>
      <c r="L131" s="83">
        <f>CO2_malnutrition_charfact*B131</f>
        <v>1.0763861003861002E-5</v>
      </c>
      <c r="M131" s="83">
        <f>CO2_workingcapacity_charfact*B131</f>
        <v>5.2473822393822384E-6</v>
      </c>
      <c r="N131" s="83">
        <f>CO2_diarrhea_charfact*B131</f>
        <v>7.1759073359073361E-8</v>
      </c>
      <c r="O131" s="83">
        <f>PM2.5_asthmacases_charfact*F131</f>
        <v>5.3127359999999993E-6</v>
      </c>
      <c r="P131" s="83">
        <f>PM2.5_COPD_charfact*F131</f>
        <v>4.1469999999999997E-7</v>
      </c>
      <c r="Q131" s="83">
        <f>CO2_crop_charfact*B131</f>
        <v>4.9067544855780146E-2</v>
      </c>
      <c r="R131" s="83">
        <f>charnoxcrop/0.62*D131</f>
        <v>0.17814323847441524</v>
      </c>
      <c r="S131" s="83">
        <f>charco2woodgw*B131</f>
        <v>0</v>
      </c>
      <c r="T131" s="83">
        <f>NOx_wood_oxidantcharfact/0.62*D131</f>
        <v>1.3806100981767181E-2</v>
      </c>
      <c r="U131" s="83">
        <f>CO2_fruitandveg_charfact*B131</f>
        <v>5.8765932318873481E-3</v>
      </c>
      <c r="V131" s="83">
        <f>CO2_meatandfish_charfact*B131</f>
        <v>2.3150215761980467E-3</v>
      </c>
      <c r="W131" s="83">
        <f>CO2_drinkingwater_charfact*B131</f>
        <v>0.28255135135135134</v>
      </c>
      <c r="X131" s="83">
        <f>CO2_irrigationwater_charfact*B131</f>
        <v>0.56510270270270269</v>
      </c>
      <c r="Y131" s="83">
        <f>CO2_housing_charfact*B131</f>
        <v>8.9698841698841695E-8</v>
      </c>
      <c r="Z131" s="83">
        <f>CO2_separations_charfact*B131</f>
        <v>1.0193050193050191E-6</v>
      </c>
      <c r="AA131" s="83">
        <f>CO2_NEX_charfact*B131</f>
        <v>1.0193050193050192E-15</v>
      </c>
      <c r="AB131" s="131">
        <f>(H131+I131+J131+K131)*YOLLvalue+L131*malnutrition+M131*working_capacity+N131*diarrhea+O131*asthmacasesvalue+P131*COPDvalue+(Q131+R131)*cropvalue+(S131+T131)*woodvalue+U131*Fruitandveg_value+V131*fishandmeatvalue+W131*drinkingwatervalue+X131*irrigationwatervalue+Y131*housingvalue+Z131*migrationvalue+AA131*speciesvalue</f>
        <v>16.98830474478445</v>
      </c>
    </row>
    <row r="132" spans="1:28">
      <c r="A132" s="44" t="s">
        <v>733</v>
      </c>
      <c r="AB132" s="200"/>
    </row>
    <row r="133" spans="1:28">
      <c r="A133" s="133" t="s">
        <v>734</v>
      </c>
      <c r="B133">
        <v>12</v>
      </c>
      <c r="C133">
        <v>2</v>
      </c>
      <c r="D133">
        <v>5.0000000000000001E-3</v>
      </c>
      <c r="F133">
        <v>0.11</v>
      </c>
      <c r="H133" s="83">
        <f t="shared" ref="H133:H141" si="140">B133*charco2yoll</f>
        <v>7.7867075212355209E-6</v>
      </c>
      <c r="I133" s="83">
        <f t="shared" ref="I133:I141" si="141">D133*NOx_YOLL_Oxidant_charfact/0.62</f>
        <v>2.8702620130247185E-8</v>
      </c>
      <c r="J133" s="83">
        <f t="shared" ref="J133:J141" si="142">F133*PM2.5_YOLL_charfact</f>
        <v>3.2567254270146715E-4</v>
      </c>
      <c r="L133" s="83">
        <f t="shared" ref="L133:L141" si="143">CO2_malnutrition_charfact*B133</f>
        <v>2.8703629343629341E-5</v>
      </c>
      <c r="M133" s="83">
        <f t="shared" ref="M133:M141" si="144">CO2_workingcapacity_charfact*B133</f>
        <v>1.3993019305019304E-5</v>
      </c>
      <c r="N133" s="83">
        <f t="shared" ref="N133:N141" si="145">CO2_diarrhea_charfact*B133</f>
        <v>1.9135752895752894E-7</v>
      </c>
      <c r="O133" s="83">
        <f t="shared" ref="O133:O141" si="146">PM2.5_asthmacases_charfact*F133</f>
        <v>5.3127359999999993E-6</v>
      </c>
      <c r="P133" s="83">
        <f t="shared" ref="P133:P141" si="147">PM2.5_COPD_charfact*F133</f>
        <v>4.1469999999999997E-7</v>
      </c>
      <c r="Q133" s="83">
        <f t="shared" ref="Q133:Q141" si="148">CO2_crop_charfact*B133</f>
        <v>0.13084678628208038</v>
      </c>
      <c r="R133" s="83">
        <f t="shared" ref="R133:R141" si="149">charnoxcrop/0.62*D133</f>
        <v>5.9381079491471747E-3</v>
      </c>
      <c r="S133" s="83">
        <f t="shared" ref="S133:S141" si="150">charco2woodgw*B133</f>
        <v>0</v>
      </c>
      <c r="T133" s="83">
        <f t="shared" ref="T133:T141" si="151">NOx_wood_oxidantcharfact/0.62*D133</f>
        <v>4.6020336605890602E-4</v>
      </c>
      <c r="U133" s="83">
        <f t="shared" ref="U133:U141" si="152">CO2_fruitandveg_charfact*B133</f>
        <v>1.5670915285032928E-2</v>
      </c>
      <c r="V133" s="83">
        <f t="shared" ref="V133:V141" si="153">CO2_meatandfish_charfact*B133</f>
        <v>6.173390869861458E-3</v>
      </c>
      <c r="W133" s="83">
        <f t="shared" ref="W133:W141" si="154">CO2_drinkingwater_charfact*B133</f>
        <v>0.75347027027027025</v>
      </c>
      <c r="X133" s="83">
        <f t="shared" ref="X133:X141" si="155">CO2_irrigationwater_charfact*B133</f>
        <v>1.5069405405405405</v>
      </c>
      <c r="Y133" s="83">
        <f t="shared" ref="Y133:Y141" si="156">CO2_housing_charfact*B133</f>
        <v>2.3919691119691117E-7</v>
      </c>
      <c r="Z133" s="83">
        <f t="shared" ref="Z133:Z141" si="157">CO2_separations_charfact*B133</f>
        <v>2.7181467181467177E-6</v>
      </c>
      <c r="AA133" s="83">
        <f t="shared" ref="AA133:AA141" si="158">CO2_NEX_charfact*B133</f>
        <v>2.718146718146718E-15</v>
      </c>
      <c r="AB133" s="131">
        <f t="shared" ref="AB133:AB141" si="159">(H133+I133+J133+K133)*YOLLvalue+L133*malnutrition+M133*working_capacity+N133*diarrhea+O133*asthmacasesvalue+P133*COPDvalue+(Q133+R133)*cropvalue+(S133+T133)*woodvalue+U133*Fruitandveg_value+V133*fishandmeatvalue+W133*drinkingwatervalue+X133*irrigationwatervalue+Y133*housingvalue+Z133*migrationvalue+AA133*speciesvalue</f>
        <v>17.91246037366221</v>
      </c>
    </row>
    <row r="134" spans="1:28">
      <c r="A134" s="133" t="s">
        <v>735</v>
      </c>
      <c r="B134">
        <v>9</v>
      </c>
      <c r="C134">
        <v>2</v>
      </c>
      <c r="D134">
        <v>6.8000000000000005E-2</v>
      </c>
      <c r="F134">
        <v>0.11</v>
      </c>
      <c r="H134" s="83">
        <f t="shared" si="140"/>
        <v>5.8400306409266407E-6</v>
      </c>
      <c r="I134" s="83">
        <f t="shared" si="141"/>
        <v>3.9035563377136177E-7</v>
      </c>
      <c r="J134" s="83">
        <f t="shared" si="142"/>
        <v>3.2567254270146715E-4</v>
      </c>
      <c r="L134" s="83">
        <f t="shared" si="143"/>
        <v>2.1527722007722004E-5</v>
      </c>
      <c r="M134" s="83">
        <f t="shared" si="144"/>
        <v>1.0494764478764477E-5</v>
      </c>
      <c r="N134" s="83">
        <f t="shared" si="145"/>
        <v>1.4351814671814672E-7</v>
      </c>
      <c r="O134" s="83">
        <f t="shared" si="146"/>
        <v>5.3127359999999993E-6</v>
      </c>
      <c r="P134" s="83">
        <f t="shared" si="147"/>
        <v>4.1469999999999997E-7</v>
      </c>
      <c r="Q134" s="83">
        <f t="shared" si="148"/>
        <v>9.8135089711560292E-2</v>
      </c>
      <c r="R134" s="83">
        <f t="shared" si="149"/>
        <v>8.0758268108401574E-2</v>
      </c>
      <c r="S134" s="83">
        <f t="shared" si="150"/>
        <v>0</v>
      </c>
      <c r="T134" s="83">
        <f t="shared" si="151"/>
        <v>6.2587657784011225E-3</v>
      </c>
      <c r="U134" s="83">
        <f t="shared" si="152"/>
        <v>1.1753186463774696E-2</v>
      </c>
      <c r="V134" s="83">
        <f t="shared" si="153"/>
        <v>4.6300431523960935E-3</v>
      </c>
      <c r="W134" s="83">
        <f t="shared" si="154"/>
        <v>0.56510270270270269</v>
      </c>
      <c r="X134" s="83">
        <f t="shared" si="155"/>
        <v>1.1302054054054054</v>
      </c>
      <c r="Y134" s="83">
        <f t="shared" si="156"/>
        <v>1.7939768339768339E-7</v>
      </c>
      <c r="Z134" s="83">
        <f t="shared" si="157"/>
        <v>2.0386100386100383E-6</v>
      </c>
      <c r="AA134" s="83">
        <f t="shared" si="158"/>
        <v>2.0386100386100383E-15</v>
      </c>
      <c r="AB134" s="131">
        <f t="shared" si="159"/>
        <v>17.54555804500108</v>
      </c>
    </row>
    <row r="135" spans="1:28">
      <c r="A135" s="45" t="s">
        <v>736</v>
      </c>
      <c r="B135">
        <v>16</v>
      </c>
      <c r="C135">
        <v>2</v>
      </c>
      <c r="D135">
        <v>2.3E-2</v>
      </c>
      <c r="F135">
        <v>0.11</v>
      </c>
      <c r="H135" s="83">
        <f t="shared" si="140"/>
        <v>1.0382276694980694E-5</v>
      </c>
      <c r="I135" s="83">
        <f t="shared" si="141"/>
        <v>1.3203205259913703E-7</v>
      </c>
      <c r="J135" s="83">
        <f t="shared" si="142"/>
        <v>3.2567254270146715E-4</v>
      </c>
      <c r="L135" s="83">
        <f t="shared" si="143"/>
        <v>3.8271505791505785E-5</v>
      </c>
      <c r="M135" s="83">
        <f t="shared" si="144"/>
        <v>1.865735907335907E-5</v>
      </c>
      <c r="N135" s="83">
        <f t="shared" si="145"/>
        <v>2.5514337194337193E-7</v>
      </c>
      <c r="O135" s="83">
        <f t="shared" si="146"/>
        <v>5.3127359999999993E-6</v>
      </c>
      <c r="P135" s="83">
        <f t="shared" si="147"/>
        <v>4.1469999999999997E-7</v>
      </c>
      <c r="Q135" s="83">
        <f t="shared" si="148"/>
        <v>0.17446238170944051</v>
      </c>
      <c r="R135" s="83">
        <f t="shared" si="149"/>
        <v>2.7315296566077001E-2</v>
      </c>
      <c r="S135" s="83">
        <f t="shared" si="150"/>
        <v>0</v>
      </c>
      <c r="T135" s="83">
        <f t="shared" si="151"/>
        <v>2.1169354838709679E-3</v>
      </c>
      <c r="U135" s="83">
        <f t="shared" si="152"/>
        <v>2.0894553713377239E-2</v>
      </c>
      <c r="V135" s="83">
        <f t="shared" si="153"/>
        <v>8.2311878264819446E-3</v>
      </c>
      <c r="W135" s="83">
        <f t="shared" si="154"/>
        <v>1.004627027027027</v>
      </c>
      <c r="X135" s="83">
        <f t="shared" si="155"/>
        <v>2.009254054054054</v>
      </c>
      <c r="Y135" s="83">
        <f t="shared" si="156"/>
        <v>3.1892921492921491E-7</v>
      </c>
      <c r="Z135" s="83">
        <f t="shared" si="157"/>
        <v>3.6241956241956237E-6</v>
      </c>
      <c r="AA135" s="83">
        <f t="shared" si="158"/>
        <v>3.6241956241956238E-15</v>
      </c>
      <c r="AB135" s="131">
        <f t="shared" si="159"/>
        <v>18.457965905499059</v>
      </c>
    </row>
    <row r="136" spans="1:28">
      <c r="A136" s="45" t="s">
        <v>743</v>
      </c>
      <c r="B136">
        <v>1</v>
      </c>
      <c r="C136">
        <v>2</v>
      </c>
      <c r="D136">
        <v>7.9000000000000001E-2</v>
      </c>
      <c r="F136">
        <v>0.11</v>
      </c>
      <c r="H136" s="83">
        <f t="shared" si="140"/>
        <v>6.4889229343629337E-7</v>
      </c>
      <c r="I136" s="83">
        <f t="shared" si="141"/>
        <v>4.5350139805790552E-7</v>
      </c>
      <c r="J136" s="83">
        <f t="shared" si="142"/>
        <v>3.2567254270146715E-4</v>
      </c>
      <c r="L136" s="83">
        <f t="shared" si="143"/>
        <v>2.3919691119691116E-6</v>
      </c>
      <c r="M136" s="83">
        <f t="shared" si="144"/>
        <v>1.1660849420849419E-6</v>
      </c>
      <c r="N136" s="83">
        <f t="shared" si="145"/>
        <v>1.5946460746460745E-8</v>
      </c>
      <c r="O136" s="83">
        <f t="shared" si="146"/>
        <v>5.3127359999999993E-6</v>
      </c>
      <c r="P136" s="83">
        <f t="shared" si="147"/>
        <v>4.1469999999999997E-7</v>
      </c>
      <c r="Q136" s="83">
        <f t="shared" si="148"/>
        <v>1.0903898856840032E-2</v>
      </c>
      <c r="R136" s="83">
        <f t="shared" si="149"/>
        <v>9.382210559652536E-2</v>
      </c>
      <c r="S136" s="83">
        <f t="shared" si="150"/>
        <v>0</v>
      </c>
      <c r="T136" s="83">
        <f t="shared" si="151"/>
        <v>7.271213183730715E-3</v>
      </c>
      <c r="U136" s="83">
        <f t="shared" si="152"/>
        <v>1.3059096070860774E-3</v>
      </c>
      <c r="V136" s="83">
        <f t="shared" si="153"/>
        <v>5.1444923915512154E-4</v>
      </c>
      <c r="W136" s="83">
        <f t="shared" si="154"/>
        <v>6.2789189189189187E-2</v>
      </c>
      <c r="X136" s="83">
        <f t="shared" si="155"/>
        <v>0.12557837837837837</v>
      </c>
      <c r="Y136" s="83">
        <f t="shared" si="156"/>
        <v>1.9933075933075932E-8</v>
      </c>
      <c r="Z136" s="83">
        <f t="shared" si="157"/>
        <v>2.2651222651222648E-7</v>
      </c>
      <c r="AA136" s="83">
        <f t="shared" si="158"/>
        <v>2.2651222651222649E-16</v>
      </c>
      <c r="AB136" s="131">
        <f t="shared" si="159"/>
        <v>16.48049025649307</v>
      </c>
    </row>
    <row r="137" spans="1:28" s="45" customFormat="1">
      <c r="A137" s="45" t="s">
        <v>744</v>
      </c>
      <c r="B137" s="45">
        <v>1</v>
      </c>
      <c r="C137" s="45">
        <v>2</v>
      </c>
      <c r="D137" s="45">
        <v>2.5000000000000001E-2</v>
      </c>
      <c r="E137" s="45">
        <v>1.3</v>
      </c>
      <c r="F137" s="45">
        <v>0.11</v>
      </c>
      <c r="H137" s="131">
        <f t="shared" si="140"/>
        <v>6.4889229343629337E-7</v>
      </c>
      <c r="I137" s="131">
        <f t="shared" si="141"/>
        <v>1.4351310065123592E-7</v>
      </c>
      <c r="J137" s="131">
        <f t="shared" si="142"/>
        <v>3.2567254270146715E-4</v>
      </c>
      <c r="K137" s="79"/>
      <c r="L137" s="131">
        <f t="shared" si="143"/>
        <v>2.3919691119691116E-6</v>
      </c>
      <c r="M137" s="131">
        <f t="shared" si="144"/>
        <v>1.1660849420849419E-6</v>
      </c>
      <c r="N137" s="131">
        <f t="shared" si="145"/>
        <v>1.5946460746460745E-8</v>
      </c>
      <c r="O137" s="131">
        <f t="shared" si="146"/>
        <v>5.3127359999999993E-6</v>
      </c>
      <c r="P137" s="131">
        <f t="shared" si="147"/>
        <v>4.1469999999999997E-7</v>
      </c>
      <c r="Q137" s="131">
        <f t="shared" si="148"/>
        <v>1.0903898856840032E-2</v>
      </c>
      <c r="R137" s="131">
        <f t="shared" si="149"/>
        <v>2.9690539745735874E-2</v>
      </c>
      <c r="S137" s="131">
        <f t="shared" si="150"/>
        <v>0</v>
      </c>
      <c r="T137" s="131">
        <f t="shared" si="151"/>
        <v>2.3010168302945301E-3</v>
      </c>
      <c r="U137" s="131">
        <f t="shared" si="152"/>
        <v>1.3059096070860774E-3</v>
      </c>
      <c r="V137" s="131">
        <f t="shared" si="153"/>
        <v>5.1444923915512154E-4</v>
      </c>
      <c r="W137" s="131">
        <f t="shared" si="154"/>
        <v>6.2789189189189187E-2</v>
      </c>
      <c r="X137" s="131">
        <f t="shared" si="155"/>
        <v>0.12557837837837837</v>
      </c>
      <c r="Y137" s="131">
        <f t="shared" si="156"/>
        <v>1.9933075933075932E-8</v>
      </c>
      <c r="Z137" s="131">
        <f t="shared" si="157"/>
        <v>2.2651222651222648E-7</v>
      </c>
      <c r="AA137" s="131">
        <f t="shared" si="158"/>
        <v>2.2651222651222649E-16</v>
      </c>
      <c r="AB137" s="131">
        <f t="shared" si="159"/>
        <v>16.45068308928143</v>
      </c>
    </row>
    <row r="138" spans="1:28" s="45" customFormat="1">
      <c r="A138" s="45" t="s">
        <v>639</v>
      </c>
      <c r="B138" s="45">
        <v>1</v>
      </c>
      <c r="C138" s="45">
        <v>2</v>
      </c>
      <c r="D138" s="45">
        <v>0.42</v>
      </c>
      <c r="F138" s="45">
        <v>0.11</v>
      </c>
      <c r="H138" s="131">
        <f t="shared" si="140"/>
        <v>6.4889229343629337E-7</v>
      </c>
      <c r="I138" s="131">
        <f t="shared" si="141"/>
        <v>2.4110200909407636E-6</v>
      </c>
      <c r="J138" s="131">
        <f t="shared" si="142"/>
        <v>3.2567254270146715E-4</v>
      </c>
      <c r="K138" s="79"/>
      <c r="L138" s="131">
        <f t="shared" si="143"/>
        <v>2.3919691119691116E-6</v>
      </c>
      <c r="M138" s="131">
        <f t="shared" si="144"/>
        <v>1.1660849420849419E-6</v>
      </c>
      <c r="N138" s="131">
        <f t="shared" si="145"/>
        <v>1.5946460746460745E-8</v>
      </c>
      <c r="O138" s="131">
        <f t="shared" si="146"/>
        <v>5.3127359999999993E-6</v>
      </c>
      <c r="P138" s="131">
        <f t="shared" si="147"/>
        <v>4.1469999999999997E-7</v>
      </c>
      <c r="Q138" s="131">
        <f t="shared" si="148"/>
        <v>1.0903898856840032E-2</v>
      </c>
      <c r="R138" s="131">
        <f t="shared" si="149"/>
        <v>0.49880106772836263</v>
      </c>
      <c r="S138" s="131">
        <f t="shared" si="150"/>
        <v>0</v>
      </c>
      <c r="T138" s="131">
        <f t="shared" si="151"/>
        <v>3.8657082748948107E-2</v>
      </c>
      <c r="U138" s="131">
        <f t="shared" si="152"/>
        <v>1.3059096070860774E-3</v>
      </c>
      <c r="V138" s="131">
        <f t="shared" si="153"/>
        <v>5.1444923915512154E-4</v>
      </c>
      <c r="W138" s="131">
        <f t="shared" si="154"/>
        <v>6.2789189189189187E-2</v>
      </c>
      <c r="X138" s="131">
        <f t="shared" si="155"/>
        <v>0.12557837837837837</v>
      </c>
      <c r="Y138" s="131">
        <f t="shared" si="156"/>
        <v>1.9933075933075932E-8</v>
      </c>
      <c r="Z138" s="131">
        <f t="shared" si="157"/>
        <v>2.2651222651222648E-7</v>
      </c>
      <c r="AA138" s="131">
        <f t="shared" si="158"/>
        <v>2.2651222651222649E-16</v>
      </c>
      <c r="AB138" s="131">
        <f t="shared" si="159"/>
        <v>16.668716997588827</v>
      </c>
    </row>
    <row r="139" spans="1:28">
      <c r="A139" s="133" t="s">
        <v>737</v>
      </c>
      <c r="B139">
        <v>4.5</v>
      </c>
      <c r="C139">
        <v>2</v>
      </c>
      <c r="D139">
        <v>1.4E-2</v>
      </c>
      <c r="E139">
        <v>2</v>
      </c>
      <c r="F139">
        <v>0.11</v>
      </c>
      <c r="H139" s="83">
        <f t="shared" si="140"/>
        <v>2.9200153204633203E-6</v>
      </c>
      <c r="I139" s="83">
        <f t="shared" si="141"/>
        <v>8.0367336364692122E-8</v>
      </c>
      <c r="J139" s="83">
        <f t="shared" si="142"/>
        <v>3.2567254270146715E-4</v>
      </c>
      <c r="L139" s="83">
        <f t="shared" si="143"/>
        <v>1.0763861003861002E-5</v>
      </c>
      <c r="M139" s="83">
        <f t="shared" si="144"/>
        <v>5.2473822393822384E-6</v>
      </c>
      <c r="N139" s="83">
        <f t="shared" si="145"/>
        <v>7.1759073359073361E-8</v>
      </c>
      <c r="O139" s="83">
        <f t="shared" si="146"/>
        <v>5.3127359999999993E-6</v>
      </c>
      <c r="P139" s="83">
        <f t="shared" si="147"/>
        <v>4.1469999999999997E-7</v>
      </c>
      <c r="Q139" s="83">
        <f t="shared" si="148"/>
        <v>4.9067544855780146E-2</v>
      </c>
      <c r="R139" s="83">
        <f t="shared" si="149"/>
        <v>1.6626702257612088E-2</v>
      </c>
      <c r="S139" s="83">
        <f t="shared" si="150"/>
        <v>0</v>
      </c>
      <c r="T139" s="83">
        <f t="shared" si="151"/>
        <v>1.288569424964937E-3</v>
      </c>
      <c r="U139" s="83">
        <f t="shared" si="152"/>
        <v>5.8765932318873481E-3</v>
      </c>
      <c r="V139" s="83">
        <f t="shared" si="153"/>
        <v>2.3150215761980467E-3</v>
      </c>
      <c r="W139" s="83">
        <f t="shared" si="154"/>
        <v>0.28255135135135134</v>
      </c>
      <c r="X139" s="83">
        <f t="shared" si="155"/>
        <v>0.56510270270270269</v>
      </c>
      <c r="Y139" s="83">
        <f t="shared" si="156"/>
        <v>8.9698841698841695E-8</v>
      </c>
      <c r="Z139" s="83">
        <f t="shared" si="157"/>
        <v>1.0193050193050191E-6</v>
      </c>
      <c r="AA139" s="83">
        <f t="shared" si="158"/>
        <v>1.0193050193050192E-15</v>
      </c>
      <c r="AB139" s="131">
        <f t="shared" si="159"/>
        <v>16.913234842177346</v>
      </c>
    </row>
    <row r="140" spans="1:28" s="45" customFormat="1">
      <c r="A140" s="45" t="s">
        <v>738</v>
      </c>
      <c r="B140" s="45">
        <v>4.5</v>
      </c>
      <c r="C140" s="45">
        <v>2</v>
      </c>
      <c r="D140" s="45">
        <v>0.09</v>
      </c>
      <c r="E140" s="45">
        <v>2</v>
      </c>
      <c r="F140" s="45">
        <v>0.11</v>
      </c>
      <c r="H140" s="131">
        <f t="shared" si="140"/>
        <v>2.9200153204633203E-6</v>
      </c>
      <c r="I140" s="131">
        <f t="shared" si="141"/>
        <v>5.1664716234444927E-7</v>
      </c>
      <c r="J140" s="131">
        <f t="shared" si="142"/>
        <v>3.2567254270146715E-4</v>
      </c>
      <c r="K140" s="79"/>
      <c r="L140" s="131">
        <f t="shared" si="143"/>
        <v>1.0763861003861002E-5</v>
      </c>
      <c r="M140" s="131">
        <f t="shared" si="144"/>
        <v>5.2473822393822384E-6</v>
      </c>
      <c r="N140" s="131">
        <f t="shared" si="145"/>
        <v>7.1759073359073361E-8</v>
      </c>
      <c r="O140" s="131">
        <f t="shared" si="146"/>
        <v>5.3127359999999993E-6</v>
      </c>
      <c r="P140" s="131">
        <f t="shared" si="147"/>
        <v>4.1469999999999997E-7</v>
      </c>
      <c r="Q140" s="131">
        <f t="shared" si="148"/>
        <v>4.9067544855780146E-2</v>
      </c>
      <c r="R140" s="131">
        <f t="shared" si="149"/>
        <v>0.10688594308464913</v>
      </c>
      <c r="S140" s="131">
        <f t="shared" si="150"/>
        <v>0</v>
      </c>
      <c r="T140" s="131">
        <f t="shared" si="151"/>
        <v>8.2836605890603092E-3</v>
      </c>
      <c r="U140" s="131">
        <f t="shared" si="152"/>
        <v>5.8765932318873481E-3</v>
      </c>
      <c r="V140" s="131">
        <f t="shared" si="153"/>
        <v>2.3150215761980467E-3</v>
      </c>
      <c r="W140" s="131">
        <f t="shared" si="154"/>
        <v>0.28255135135135134</v>
      </c>
      <c r="X140" s="131">
        <f t="shared" si="155"/>
        <v>0.56510270270270269</v>
      </c>
      <c r="Y140" s="131">
        <f t="shared" si="156"/>
        <v>8.9698841698841695E-8</v>
      </c>
      <c r="Z140" s="131">
        <f t="shared" si="157"/>
        <v>1.0193050193050191E-6</v>
      </c>
      <c r="AA140" s="131">
        <f t="shared" si="158"/>
        <v>1.0193050193050192E-15</v>
      </c>
      <c r="AB140" s="131">
        <f t="shared" si="159"/>
        <v>16.955185670104843</v>
      </c>
    </row>
    <row r="141" spans="1:28">
      <c r="A141" s="45" t="s">
        <v>739</v>
      </c>
      <c r="B141">
        <v>160</v>
      </c>
      <c r="C141">
        <v>2</v>
      </c>
      <c r="D141" s="5">
        <v>3.0000000000000001E-3</v>
      </c>
      <c r="E141">
        <v>2</v>
      </c>
      <c r="F141">
        <v>0.11</v>
      </c>
      <c r="H141" s="83">
        <f t="shared" si="140"/>
        <v>1.0382276694980694E-4</v>
      </c>
      <c r="I141" s="83">
        <f t="shared" si="141"/>
        <v>1.7221572078148311E-8</v>
      </c>
      <c r="J141" s="83">
        <f t="shared" si="142"/>
        <v>3.2567254270146715E-4</v>
      </c>
      <c r="L141" s="83">
        <f t="shared" si="143"/>
        <v>3.8271505791505784E-4</v>
      </c>
      <c r="M141" s="83">
        <f t="shared" si="144"/>
        <v>1.865735907335907E-4</v>
      </c>
      <c r="N141" s="83">
        <f t="shared" si="145"/>
        <v>2.5514337194337193E-6</v>
      </c>
      <c r="O141" s="83">
        <f t="shared" si="146"/>
        <v>5.3127359999999993E-6</v>
      </c>
      <c r="P141" s="83">
        <f t="shared" si="147"/>
        <v>4.1469999999999997E-7</v>
      </c>
      <c r="Q141" s="83">
        <f t="shared" si="148"/>
        <v>1.7446238170944051</v>
      </c>
      <c r="R141" s="83">
        <f t="shared" si="149"/>
        <v>3.5628647694883049E-3</v>
      </c>
      <c r="S141" s="83">
        <f t="shared" si="150"/>
        <v>0</v>
      </c>
      <c r="T141" s="83">
        <f t="shared" si="151"/>
        <v>2.761220196353436E-4</v>
      </c>
      <c r="U141" s="83">
        <f t="shared" si="152"/>
        <v>0.2089455371337724</v>
      </c>
      <c r="V141" s="83">
        <f t="shared" si="153"/>
        <v>8.2311878264819449E-2</v>
      </c>
      <c r="W141" s="83">
        <f t="shared" si="154"/>
        <v>10.04627027027027</v>
      </c>
      <c r="X141" s="83">
        <f t="shared" si="155"/>
        <v>20.09254054054054</v>
      </c>
      <c r="Y141" s="83">
        <f t="shared" si="156"/>
        <v>3.1892921492921492E-6</v>
      </c>
      <c r="Z141" s="83">
        <f t="shared" si="157"/>
        <v>3.6241956241956238E-5</v>
      </c>
      <c r="AA141" s="83">
        <f t="shared" si="158"/>
        <v>3.6241956241956236E-14</v>
      </c>
      <c r="AB141" s="131">
        <f t="shared" si="159"/>
        <v>37.727439353525824</v>
      </c>
    </row>
    <row r="142" spans="1:28">
      <c r="A142" s="44" t="s">
        <v>275</v>
      </c>
      <c r="AB142" s="200"/>
    </row>
    <row r="143" spans="1:28">
      <c r="A143" t="s">
        <v>740</v>
      </c>
      <c r="B143">
        <v>4.5</v>
      </c>
      <c r="C143">
        <v>2</v>
      </c>
      <c r="D143">
        <v>0.62</v>
      </c>
      <c r="E143">
        <v>1.1000000000000001</v>
      </c>
      <c r="F143">
        <v>0.11</v>
      </c>
      <c r="H143" s="83">
        <f>B143*charco2yoll</f>
        <v>2.9200153204633203E-6</v>
      </c>
      <c r="I143" s="83">
        <f>D143*NOx_YOLL_Oxidant_charfact/0.62</f>
        <v>3.5591248961506504E-6</v>
      </c>
      <c r="J143" s="83">
        <f>F143*PM2.5_YOLL_charfact</f>
        <v>3.2567254270146715E-4</v>
      </c>
      <c r="L143" s="83">
        <f>CO2_malnutrition_charfact*B143</f>
        <v>1.0763861003861002E-5</v>
      </c>
      <c r="M143" s="83">
        <f>CO2_workingcapacity_charfact*B143</f>
        <v>5.2473822393822384E-6</v>
      </c>
      <c r="N143" s="83">
        <f>CO2_diarrhea_charfact*B143</f>
        <v>7.1759073359073361E-8</v>
      </c>
      <c r="O143" s="83">
        <f>PM2.5_asthmacases_charfact*F143</f>
        <v>5.3127359999999993E-6</v>
      </c>
      <c r="P143" s="83">
        <f>PM2.5_COPD_charfact*F143</f>
        <v>4.1469999999999997E-7</v>
      </c>
      <c r="Q143" s="83">
        <f>CO2_crop_charfact*B143</f>
        <v>4.9067544855780146E-2</v>
      </c>
      <c r="R143" s="83">
        <f>charnoxcrop/0.62*D143</f>
        <v>0.73632538569424966</v>
      </c>
      <c r="S143" s="83">
        <f>charco2woodgw*B143</f>
        <v>0</v>
      </c>
      <c r="T143" s="83">
        <f>NOx_wood_oxidantcharfact/0.62*D143</f>
        <v>5.7065217391304351E-2</v>
      </c>
      <c r="U143" s="83">
        <f>CO2_fruitandveg_charfact*B143</f>
        <v>5.8765932318873481E-3</v>
      </c>
      <c r="V143" s="83">
        <f>CO2_meatandfish_charfact*B143</f>
        <v>2.3150215761980467E-3</v>
      </c>
      <c r="W143" s="83">
        <f>CO2_drinkingwater_charfact*B143</f>
        <v>0.28255135135135134</v>
      </c>
      <c r="X143" s="83">
        <f>CO2_irrigationwater_charfact*B143</f>
        <v>0.56510270270270269</v>
      </c>
      <c r="Y143" s="83">
        <f>CO2_housing_charfact*B143</f>
        <v>8.9698841698841695E-8</v>
      </c>
      <c r="Z143" s="83">
        <f>CO2_separations_charfact*B143</f>
        <v>1.0193050193050191E-6</v>
      </c>
      <c r="AA143" s="83">
        <f>CO2_NEX_charfact*B143</f>
        <v>1.0193050193050192E-15</v>
      </c>
      <c r="AB143" s="131">
        <f>(H143+I143+J143+K143)*YOLLvalue+L143*malnutrition+M143*working_capacity+N143*diarrhea+O143*asthmacasesvalue+P143*COPDvalue+(Q143+R143)*cropvalue+(S143+T143)*woodvalue+U143*Fruitandveg_value+V143*fishandmeatvalue+W143*drinkingwatervalue+X143*irrigationwatervalue+Y143*housingvalue+Z143*migrationvalue+AA143*speciesvalue</f>
        <v>17.247737496441356</v>
      </c>
    </row>
    <row r="144" spans="1:28">
      <c r="A144" t="s">
        <v>741</v>
      </c>
      <c r="B144">
        <v>4.5</v>
      </c>
      <c r="C144">
        <v>2</v>
      </c>
      <c r="D144">
        <v>0.62</v>
      </c>
      <c r="E144">
        <v>1.2</v>
      </c>
      <c r="F144">
        <v>0.11</v>
      </c>
      <c r="H144" s="83">
        <f>B144*charco2yoll</f>
        <v>2.9200153204633203E-6</v>
      </c>
      <c r="I144" s="83">
        <f>D144*NOx_YOLL_Oxidant_charfact/0.62</f>
        <v>3.5591248961506504E-6</v>
      </c>
      <c r="J144" s="83">
        <f>F144*PM2.5_YOLL_charfact</f>
        <v>3.2567254270146715E-4</v>
      </c>
      <c r="L144" s="83">
        <f>CO2_malnutrition_charfact*B144</f>
        <v>1.0763861003861002E-5</v>
      </c>
      <c r="M144" s="83">
        <f>CO2_workingcapacity_charfact*B144</f>
        <v>5.2473822393822384E-6</v>
      </c>
      <c r="N144" s="83">
        <f>CO2_diarrhea_charfact*B144</f>
        <v>7.1759073359073361E-8</v>
      </c>
      <c r="O144" s="83">
        <f>PM2.5_asthmacases_charfact*F144</f>
        <v>5.3127359999999993E-6</v>
      </c>
      <c r="P144" s="83">
        <f>PM2.5_COPD_charfact*F144</f>
        <v>4.1469999999999997E-7</v>
      </c>
      <c r="Q144" s="83">
        <f>CO2_crop_charfact*B144</f>
        <v>4.9067544855780146E-2</v>
      </c>
      <c r="R144" s="83">
        <f>charnoxcrop/0.62*D144</f>
        <v>0.73632538569424966</v>
      </c>
      <c r="S144" s="83">
        <f>charco2woodgw*B144</f>
        <v>0</v>
      </c>
      <c r="T144" s="83">
        <f>NOx_wood_oxidantcharfact/0.62*D144</f>
        <v>5.7065217391304351E-2</v>
      </c>
      <c r="U144" s="83">
        <f>CO2_fruitandveg_charfact*B144</f>
        <v>5.8765932318873481E-3</v>
      </c>
      <c r="V144" s="83">
        <f>CO2_meatandfish_charfact*B144</f>
        <v>2.3150215761980467E-3</v>
      </c>
      <c r="W144" s="83">
        <f>CO2_drinkingwater_charfact*B144</f>
        <v>0.28255135135135134</v>
      </c>
      <c r="X144" s="83">
        <f>CO2_irrigationwater_charfact*B144</f>
        <v>0.56510270270270269</v>
      </c>
      <c r="Y144" s="83">
        <f>CO2_housing_charfact*B144</f>
        <v>8.9698841698841695E-8</v>
      </c>
      <c r="Z144" s="83">
        <f>CO2_separations_charfact*B144</f>
        <v>1.0193050193050191E-6</v>
      </c>
      <c r="AA144" s="83">
        <f>CO2_NEX_charfact*B144</f>
        <v>1.0193050193050192E-15</v>
      </c>
      <c r="AB144" s="131">
        <f>(H144+I144+J144+K144)*YOLLvalue+L144*malnutrition+M144*working_capacity+N144*diarrhea+O144*asthmacasesvalue+P144*COPDvalue+(Q144+R144)*cropvalue+(S144+T144)*woodvalue+U144*Fruitandveg_value+V144*fishandmeatvalue+W144*drinkingwatervalue+X144*irrigationwatervalue+Y144*housingvalue+Z144*migrationvalue+AA144*speciesvalue</f>
        <v>17.247737496441356</v>
      </c>
    </row>
    <row r="145" spans="1:28">
      <c r="A145" t="s">
        <v>742</v>
      </c>
      <c r="B145">
        <v>4.5</v>
      </c>
      <c r="C145">
        <v>2</v>
      </c>
      <c r="D145">
        <v>0.36</v>
      </c>
      <c r="E145">
        <v>1.1000000000000001</v>
      </c>
      <c r="F145">
        <v>0.11</v>
      </c>
      <c r="H145" s="83">
        <f>B145*charco2yoll</f>
        <v>2.9200153204633203E-6</v>
      </c>
      <c r="I145" s="83">
        <f>D145*NOx_YOLL_Oxidant_charfact/0.62</f>
        <v>2.0665886493777971E-6</v>
      </c>
      <c r="J145" s="83">
        <f>F145*PM2.5_YOLL_charfact</f>
        <v>3.2567254270146715E-4</v>
      </c>
      <c r="L145" s="83">
        <f>CO2_malnutrition_charfact*B145</f>
        <v>1.0763861003861002E-5</v>
      </c>
      <c r="M145" s="83">
        <f>CO2_workingcapacity_charfact*B145</f>
        <v>5.2473822393822384E-6</v>
      </c>
      <c r="N145" s="83">
        <f>CO2_diarrhea_charfact*B145</f>
        <v>7.1759073359073361E-8</v>
      </c>
      <c r="O145" s="83">
        <f>PM2.5_asthmacases_charfact*F145</f>
        <v>5.3127359999999993E-6</v>
      </c>
      <c r="P145" s="83">
        <f>PM2.5_COPD_charfact*F145</f>
        <v>4.1469999999999997E-7</v>
      </c>
      <c r="Q145" s="83">
        <f>CO2_crop_charfact*B145</f>
        <v>4.9067544855780146E-2</v>
      </c>
      <c r="R145" s="83">
        <f>charnoxcrop/0.62*D145</f>
        <v>0.42754377233859653</v>
      </c>
      <c r="S145" s="83">
        <f>charco2woodgw*B145</f>
        <v>0</v>
      </c>
      <c r="T145" s="83">
        <f>NOx_wood_oxidantcharfact/0.62*D145</f>
        <v>3.3134642356241237E-2</v>
      </c>
      <c r="U145" s="83">
        <f>CO2_fruitandveg_charfact*B145</f>
        <v>5.8765932318873481E-3</v>
      </c>
      <c r="V145" s="83">
        <f>CO2_meatandfish_charfact*B145</f>
        <v>2.3150215761980467E-3</v>
      </c>
      <c r="W145" s="83">
        <f>CO2_drinkingwater_charfact*B145</f>
        <v>0.28255135135135134</v>
      </c>
      <c r="X145" s="83">
        <f>CO2_irrigationwater_charfact*B145</f>
        <v>0.56510270270270269</v>
      </c>
      <c r="Y145" s="83">
        <f>CO2_housing_charfact*B145</f>
        <v>8.9698841698841695E-8</v>
      </c>
      <c r="Z145" s="83">
        <f>CO2_separations_charfact*B145</f>
        <v>1.0193050193050191E-6</v>
      </c>
      <c r="AA145" s="83">
        <f>CO2_NEX_charfact*B145</f>
        <v>1.0193050193050192E-15</v>
      </c>
      <c r="AB145" s="131">
        <f>(H145+I145+J145+K145)*YOLLvalue+L145*malnutrition+M145*working_capacity+N145*diarrhea+O145*asthmacasesvalue+P145*COPDvalue+(Q145+R145)*cropvalue+(S145+T145)*woodvalue+U145*Fruitandveg_value+V145*fishandmeatvalue+W145*drinkingwatervalue+X145*irrigationwatervalue+Y145*housingvalue+Z145*migrationvalue+AA145*speciesvalue</f>
        <v>17.104221506163071</v>
      </c>
    </row>
    <row r="146" spans="1:28">
      <c r="AB146" s="200"/>
    </row>
    <row r="147" spans="1:28">
      <c r="A147" s="45" t="s">
        <v>1475</v>
      </c>
      <c r="AA147" s="79" t="s">
        <v>486</v>
      </c>
      <c r="AB147" s="131">
        <f>AVERAGE(AB4:AB26,AB28:AB31,AB33:AB45,AB47:AB48,AB50,AB52:AB67,AB69:AB82,AB84:AB85,AB87:AB95,AB97:AB107,AB109:AB115,AB117:AB121,AB123:AB127,AB129:AB131,AB133:AB141,AB143:AB145)</f>
        <v>17.408381273323123</v>
      </c>
    </row>
  </sheetData>
  <autoFilter ref="A1:AN145"/>
  <phoneticPr fontId="0" type="noConversion"/>
  <pageMargins left="0.75" right="0.75" top="1" bottom="1" header="0.5" footer="0.5"/>
  <pageSetup paperSize="9" orientation="portrait"/>
  <headerFooter alignWithMargins="0"/>
  <legacy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304"/>
  <sheetViews>
    <sheetView workbookViewId="0">
      <pane xSplit="1" ySplit="1" topLeftCell="B2" activePane="bottomRight" state="frozenSplit"/>
      <selection activeCell="L190" sqref="L190"/>
      <selection pane="topRight" activeCell="L190" sqref="L190"/>
      <selection pane="bottomLeft" activeCell="L190" sqref="L190"/>
      <selection pane="bottomRight" activeCell="A10" sqref="A10"/>
    </sheetView>
  </sheetViews>
  <sheetFormatPr defaultColWidth="8.85546875" defaultRowHeight="12.75"/>
  <cols>
    <col min="1" max="1" width="29" bestFit="1" customWidth="1"/>
    <col min="2" max="2" width="13.42578125" bestFit="1" customWidth="1"/>
    <col min="3" max="3" width="6" bestFit="1" customWidth="1"/>
    <col min="4" max="4" width="16.140625" customWidth="1"/>
    <col min="5" max="5" width="13.140625" bestFit="1" customWidth="1"/>
    <col min="6" max="6" width="8.7109375" bestFit="1" customWidth="1"/>
    <col min="7" max="7" width="10.42578125" customWidth="1"/>
    <col min="8" max="8" width="9.28515625" customWidth="1"/>
    <col min="9" max="9" width="9.7109375" customWidth="1"/>
    <col min="10" max="12" width="9" customWidth="1"/>
    <col min="13" max="13" width="11" bestFit="1" customWidth="1"/>
    <col min="14" max="14" width="15.42578125" style="139" customWidth="1"/>
    <col min="15" max="15" width="11.140625" style="137" bestFit="1" customWidth="1"/>
  </cols>
  <sheetData>
    <row r="1" spans="1:20" ht="25.5">
      <c r="A1" t="s">
        <v>247</v>
      </c>
      <c r="B1" t="s">
        <v>248</v>
      </c>
      <c r="C1" s="45" t="s">
        <v>1079</v>
      </c>
      <c r="D1" s="45" t="s">
        <v>1142</v>
      </c>
      <c r="E1" t="s">
        <v>249</v>
      </c>
      <c r="F1" s="46" t="s">
        <v>1373</v>
      </c>
      <c r="G1" s="46" t="s">
        <v>1374</v>
      </c>
      <c r="H1" s="46" t="s">
        <v>1377</v>
      </c>
      <c r="I1" s="46" t="s">
        <v>1376</v>
      </c>
      <c r="J1" s="46" t="s">
        <v>1378</v>
      </c>
      <c r="K1" s="46" t="s">
        <v>1380</v>
      </c>
      <c r="L1" s="46" t="s">
        <v>1379</v>
      </c>
      <c r="M1" s="46" t="s">
        <v>1375</v>
      </c>
      <c r="N1" s="201" t="s">
        <v>1864</v>
      </c>
      <c r="O1" s="135"/>
    </row>
    <row r="2" spans="1:20">
      <c r="A2" t="s">
        <v>1343</v>
      </c>
      <c r="B2" t="s">
        <v>1566</v>
      </c>
      <c r="C2">
        <v>1500</v>
      </c>
      <c r="E2" s="69">
        <f>1/C2*1000</f>
        <v>0.66666666666666663</v>
      </c>
      <c r="F2" s="70">
        <f t="shared" ref="F2:F65" si="0">18000/2360000000*35*E2/averagepesticidepotency</f>
        <v>2.0518375812487544E-6</v>
      </c>
      <c r="G2" s="70">
        <f t="shared" ref="G2:G65" si="1">3000000*0.02/2360000000*E2/averagepesticidepotency</f>
        <v>1.9541310297607186E-7</v>
      </c>
      <c r="H2" s="1"/>
      <c r="I2" s="1"/>
      <c r="J2" s="1"/>
      <c r="K2" s="1"/>
      <c r="L2" s="1"/>
      <c r="M2" s="70">
        <f t="shared" ref="M2:M65" si="2">0.008382/2360000000*E2/averagepesticidepotency</f>
        <v>2.7299210485757237E-14</v>
      </c>
      <c r="N2" s="206">
        <f t="shared" ref="N2:N65" si="3">F2*YOLLvalue+G2*poisoningvalue+H2*As_orevalue+I2*Cu_orevalue+J2*Hg_orevalue+K2*Pb_orevalue+L2*Zn_orevalue+M2*speciesvalue</f>
        <v>0.10998302793892228</v>
      </c>
      <c r="O2" s="136"/>
      <c r="P2" s="80"/>
      <c r="Q2" s="77"/>
      <c r="R2" s="77"/>
      <c r="S2" s="80"/>
      <c r="T2" s="80"/>
    </row>
    <row r="3" spans="1:20">
      <c r="A3" t="s">
        <v>1197</v>
      </c>
      <c r="B3" t="s">
        <v>1567</v>
      </c>
      <c r="C3">
        <v>375</v>
      </c>
      <c r="D3" t="s">
        <v>1198</v>
      </c>
      <c r="E3" s="69">
        <f t="shared" ref="E3:E66" si="4">1/C3*1000</f>
        <v>2.6666666666666665</v>
      </c>
      <c r="F3" s="70">
        <f t="shared" si="0"/>
        <v>8.2073503249950174E-6</v>
      </c>
      <c r="G3" s="70">
        <f t="shared" si="1"/>
        <v>7.8165241190428742E-7</v>
      </c>
      <c r="H3" s="1"/>
      <c r="I3" s="1"/>
      <c r="J3" s="1"/>
      <c r="K3" s="1"/>
      <c r="L3" s="1"/>
      <c r="M3" s="70">
        <f t="shared" si="2"/>
        <v>1.0919684194302895E-13</v>
      </c>
      <c r="N3" s="206">
        <f t="shared" si="3"/>
        <v>0.43993211175568914</v>
      </c>
      <c r="O3" s="136"/>
      <c r="P3" s="80"/>
      <c r="Q3" s="77"/>
      <c r="R3" s="77"/>
      <c r="S3" s="80"/>
      <c r="T3" s="80"/>
    </row>
    <row r="4" spans="1:20">
      <c r="A4" t="s">
        <v>1200</v>
      </c>
      <c r="B4" t="s">
        <v>1568</v>
      </c>
      <c r="C4">
        <v>700</v>
      </c>
      <c r="E4" s="69">
        <f t="shared" si="4"/>
        <v>1.4285714285714286</v>
      </c>
      <c r="F4" s="70">
        <f t="shared" si="0"/>
        <v>4.3967948169616168E-6</v>
      </c>
      <c r="G4" s="70">
        <f t="shared" si="1"/>
        <v>4.1874236352015398E-7</v>
      </c>
      <c r="H4" s="1"/>
      <c r="I4" s="1"/>
      <c r="J4" s="1"/>
      <c r="K4" s="1"/>
      <c r="L4" s="1"/>
      <c r="M4" s="70">
        <f t="shared" si="2"/>
        <v>5.8498308183765519E-14</v>
      </c>
      <c r="N4" s="206">
        <f t="shared" si="3"/>
        <v>0.23567791701197632</v>
      </c>
      <c r="O4" s="136"/>
      <c r="P4" s="80"/>
      <c r="Q4" s="77"/>
      <c r="R4" s="77"/>
      <c r="S4" s="80"/>
      <c r="T4" s="80"/>
    </row>
    <row r="5" spans="1:20">
      <c r="A5" t="s">
        <v>1300</v>
      </c>
      <c r="B5" t="s">
        <v>1569</v>
      </c>
      <c r="C5">
        <v>600</v>
      </c>
      <c r="E5" s="69">
        <f t="shared" si="4"/>
        <v>1.6666666666666667</v>
      </c>
      <c r="F5" s="70">
        <f t="shared" si="0"/>
        <v>5.1295939531218867E-6</v>
      </c>
      <c r="G5" s="70">
        <f t="shared" si="1"/>
        <v>4.8853275744017972E-7</v>
      </c>
      <c r="H5" s="1"/>
      <c r="I5" s="1"/>
      <c r="J5" s="1"/>
      <c r="K5" s="1"/>
      <c r="L5" s="1"/>
      <c r="M5" s="70">
        <f t="shared" si="2"/>
        <v>6.8248026214393097E-14</v>
      </c>
      <c r="N5" s="206">
        <f t="shared" si="3"/>
        <v>0.27495756984730574</v>
      </c>
      <c r="O5" s="136"/>
      <c r="P5" s="80"/>
      <c r="Q5" s="77"/>
      <c r="R5" s="77"/>
      <c r="S5" s="80"/>
      <c r="T5" s="80"/>
    </row>
    <row r="6" spans="1:20">
      <c r="A6" t="s">
        <v>1093</v>
      </c>
      <c r="B6" t="s">
        <v>1570</v>
      </c>
      <c r="C6">
        <v>112</v>
      </c>
      <c r="E6" s="69">
        <f t="shared" si="4"/>
        <v>8.9285714285714288</v>
      </c>
      <c r="F6" s="70">
        <f t="shared" si="0"/>
        <v>2.7479967606010106E-5</v>
      </c>
      <c r="G6" s="70">
        <f t="shared" si="1"/>
        <v>2.6171397720009624E-6</v>
      </c>
      <c r="H6" s="1"/>
      <c r="I6" s="1"/>
      <c r="J6" s="1"/>
      <c r="K6" s="1"/>
      <c r="L6" s="1"/>
      <c r="M6" s="70">
        <f t="shared" si="2"/>
        <v>3.656144261485345E-13</v>
      </c>
      <c r="N6" s="206">
        <f t="shared" si="3"/>
        <v>1.4729869813248522</v>
      </c>
      <c r="O6" s="136"/>
      <c r="P6" s="80"/>
      <c r="Q6" s="77"/>
      <c r="R6" s="77"/>
      <c r="S6" s="80"/>
      <c r="T6" s="80"/>
    </row>
    <row r="7" spans="1:20">
      <c r="A7" t="s">
        <v>1186</v>
      </c>
      <c r="B7" t="s">
        <v>1571</v>
      </c>
      <c r="C7">
        <v>850</v>
      </c>
      <c r="E7" s="69">
        <f t="shared" si="4"/>
        <v>1.1764705882352939</v>
      </c>
      <c r="F7" s="70">
        <f t="shared" si="0"/>
        <v>3.6208898492625076E-6</v>
      </c>
      <c r="G7" s="70">
        <f t="shared" si="1"/>
        <v>3.4484665231071498E-7</v>
      </c>
      <c r="H7" s="1"/>
      <c r="I7" s="1"/>
      <c r="J7" s="1"/>
      <c r="K7" s="1"/>
      <c r="L7" s="1"/>
      <c r="M7" s="70">
        <f t="shared" si="2"/>
        <v>4.8175077327806889E-14</v>
      </c>
      <c r="N7" s="206">
        <f t="shared" si="3"/>
        <v>0.19408769636280401</v>
      </c>
      <c r="O7" s="136"/>
      <c r="P7" s="80"/>
      <c r="Q7" s="77"/>
      <c r="R7" s="77"/>
      <c r="S7" s="80"/>
      <c r="T7" s="80"/>
    </row>
    <row r="8" spans="1:20">
      <c r="A8" t="s">
        <v>1143</v>
      </c>
      <c r="B8" t="s">
        <v>1572</v>
      </c>
      <c r="C8">
        <v>945</v>
      </c>
      <c r="E8" s="69">
        <f t="shared" si="4"/>
        <v>1.0582010582010584</v>
      </c>
      <c r="F8" s="70">
        <f t="shared" si="0"/>
        <v>3.2568850496011981E-6</v>
      </c>
      <c r="G8" s="70">
        <f t="shared" si="1"/>
        <v>3.1017952853344745E-7</v>
      </c>
      <c r="H8" s="1"/>
      <c r="I8" s="1"/>
      <c r="J8" s="1"/>
      <c r="K8" s="1"/>
      <c r="L8" s="1"/>
      <c r="M8" s="70">
        <f t="shared" si="2"/>
        <v>4.3332080136122608E-14</v>
      </c>
      <c r="N8" s="206">
        <f t="shared" si="3"/>
        <v>0.1745762348236862</v>
      </c>
      <c r="O8" s="136"/>
      <c r="P8" s="80"/>
      <c r="Q8" s="77"/>
      <c r="R8" s="77"/>
      <c r="S8" s="80"/>
      <c r="T8" s="80"/>
    </row>
    <row r="9" spans="1:20">
      <c r="A9" t="s">
        <v>1144</v>
      </c>
      <c r="B9" t="s">
        <v>1573</v>
      </c>
      <c r="C9">
        <v>1370</v>
      </c>
      <c r="E9" s="69">
        <f t="shared" si="4"/>
        <v>0.72992700729927007</v>
      </c>
      <c r="F9" s="70">
        <f t="shared" si="0"/>
        <v>2.2465374977176143E-6</v>
      </c>
      <c r="G9" s="70">
        <f t="shared" si="1"/>
        <v>2.1395595216358231E-7</v>
      </c>
      <c r="H9" s="1"/>
      <c r="I9" s="1"/>
      <c r="J9" s="1"/>
      <c r="K9" s="1"/>
      <c r="L9" s="1"/>
      <c r="M9" s="70">
        <f t="shared" si="2"/>
        <v>2.9889646517252448E-14</v>
      </c>
      <c r="N9" s="206">
        <f t="shared" si="3"/>
        <v>0.12041937365575432</v>
      </c>
      <c r="O9" s="136"/>
      <c r="P9" s="80"/>
      <c r="Q9" s="77"/>
      <c r="R9" s="77"/>
      <c r="S9" s="80"/>
      <c r="T9" s="80"/>
    </row>
    <row r="10" spans="1:20">
      <c r="A10" t="s">
        <v>1080</v>
      </c>
      <c r="B10" t="s">
        <v>1574</v>
      </c>
      <c r="C10">
        <v>29</v>
      </c>
      <c r="D10" t="s">
        <v>1081</v>
      </c>
      <c r="E10" s="69">
        <f t="shared" si="4"/>
        <v>34.482758620689651</v>
      </c>
      <c r="F10" s="70">
        <f t="shared" si="0"/>
        <v>1.0612953006459074E-4</v>
      </c>
      <c r="G10" s="70">
        <f t="shared" si="1"/>
        <v>1.0107574291865785E-5</v>
      </c>
      <c r="H10" s="1"/>
      <c r="I10" s="1"/>
      <c r="J10" s="1"/>
      <c r="K10" s="1"/>
      <c r="L10" s="1"/>
      <c r="M10" s="70">
        <f t="shared" si="2"/>
        <v>1.4120281285736502E-12</v>
      </c>
      <c r="N10" s="206">
        <f t="shared" si="3"/>
        <v>5.6887773071856351</v>
      </c>
      <c r="O10" s="136"/>
      <c r="P10" s="80"/>
      <c r="Q10" s="77"/>
      <c r="R10" s="77"/>
      <c r="S10" s="80"/>
      <c r="T10" s="80"/>
    </row>
    <row r="11" spans="1:20">
      <c r="A11" t="s">
        <v>1145</v>
      </c>
      <c r="B11" t="s">
        <v>1575</v>
      </c>
      <c r="C11">
        <v>930</v>
      </c>
      <c r="D11" t="s">
        <v>1146</v>
      </c>
      <c r="E11" s="69">
        <f t="shared" si="4"/>
        <v>1.075268817204301</v>
      </c>
      <c r="F11" s="70">
        <f t="shared" si="0"/>
        <v>3.3094154536270234E-6</v>
      </c>
      <c r="G11" s="70">
        <f t="shared" si="1"/>
        <v>3.1518242415495457E-7</v>
      </c>
      <c r="H11" s="1"/>
      <c r="I11" s="1"/>
      <c r="J11" s="1"/>
      <c r="K11" s="1"/>
      <c r="L11" s="1"/>
      <c r="M11" s="70">
        <f t="shared" si="2"/>
        <v>4.4030984654447157E-14</v>
      </c>
      <c r="N11" s="206">
        <f t="shared" si="3"/>
        <v>0.17739198054664884</v>
      </c>
      <c r="O11" s="136"/>
      <c r="P11" s="80"/>
      <c r="Q11" s="77"/>
      <c r="R11" s="77"/>
      <c r="S11" s="80"/>
      <c r="T11" s="80"/>
    </row>
    <row r="12" spans="1:20">
      <c r="A12" t="s">
        <v>1147</v>
      </c>
      <c r="B12" t="s">
        <v>1576</v>
      </c>
      <c r="C12">
        <v>330</v>
      </c>
      <c r="E12" s="69">
        <f t="shared" si="4"/>
        <v>3.0303030303030303</v>
      </c>
      <c r="F12" s="70">
        <f t="shared" si="0"/>
        <v>9.3265344602216105E-6</v>
      </c>
      <c r="G12" s="70">
        <f t="shared" si="1"/>
        <v>8.8824137716396301E-7</v>
      </c>
      <c r="H12" s="1"/>
      <c r="I12" s="1"/>
      <c r="J12" s="1"/>
      <c r="K12" s="1"/>
      <c r="L12" s="1"/>
      <c r="M12" s="70">
        <f t="shared" si="2"/>
        <v>1.2408732038980564E-13</v>
      </c>
      <c r="N12" s="206">
        <f t="shared" si="3"/>
        <v>0.49992285426782856</v>
      </c>
      <c r="O12" s="136"/>
      <c r="P12" s="80"/>
      <c r="Q12" s="77"/>
      <c r="R12" s="77"/>
      <c r="S12" s="80"/>
      <c r="T12" s="80"/>
    </row>
    <row r="13" spans="1:20">
      <c r="A13" t="s">
        <v>1049</v>
      </c>
      <c r="B13" t="s">
        <v>1577</v>
      </c>
      <c r="C13">
        <v>0.93</v>
      </c>
      <c r="D13" t="s">
        <v>1050</v>
      </c>
      <c r="E13" s="69">
        <f t="shared" si="4"/>
        <v>1075.2688172043011</v>
      </c>
      <c r="F13" s="70">
        <f t="shared" si="0"/>
        <v>3.3094154536270231E-3</v>
      </c>
      <c r="G13" s="70">
        <f t="shared" si="1"/>
        <v>3.151824241549546E-4</v>
      </c>
      <c r="H13" s="1"/>
      <c r="I13" s="1"/>
      <c r="J13" s="1"/>
      <c r="K13" s="1"/>
      <c r="L13" s="1"/>
      <c r="M13" s="70">
        <f t="shared" si="2"/>
        <v>4.4030984654447162E-11</v>
      </c>
      <c r="N13" s="206">
        <f t="shared" si="3"/>
        <v>177.39198054664882</v>
      </c>
      <c r="O13" s="136"/>
      <c r="P13" s="80"/>
      <c r="Q13" s="77"/>
      <c r="R13" s="77"/>
      <c r="S13" s="80"/>
      <c r="T13" s="80"/>
    </row>
    <row r="14" spans="1:20">
      <c r="A14" t="s">
        <v>1148</v>
      </c>
      <c r="B14" t="s">
        <v>1578</v>
      </c>
      <c r="C14">
        <v>685</v>
      </c>
      <c r="E14" s="69">
        <f t="shared" si="4"/>
        <v>1.4598540145985401</v>
      </c>
      <c r="F14" s="70">
        <f t="shared" si="0"/>
        <v>4.4930749954352287E-6</v>
      </c>
      <c r="G14" s="70">
        <f t="shared" si="1"/>
        <v>4.2791190432716462E-7</v>
      </c>
      <c r="H14" s="1"/>
      <c r="I14" s="1"/>
      <c r="J14" s="1"/>
      <c r="K14" s="1"/>
      <c r="L14" s="1"/>
      <c r="M14" s="70">
        <f t="shared" si="2"/>
        <v>5.9779293034504896E-14</v>
      </c>
      <c r="N14" s="206">
        <f t="shared" si="3"/>
        <v>0.24083874731150864</v>
      </c>
      <c r="O14" s="136"/>
      <c r="P14" s="80"/>
      <c r="Q14" s="77"/>
      <c r="R14" s="77"/>
      <c r="S14" s="80"/>
      <c r="T14" s="80"/>
    </row>
    <row r="15" spans="1:20">
      <c r="A15" t="s">
        <v>1082</v>
      </c>
      <c r="B15" t="s">
        <v>1579</v>
      </c>
      <c r="C15">
        <v>64</v>
      </c>
      <c r="E15" s="69">
        <f t="shared" si="4"/>
        <v>15.625</v>
      </c>
      <c r="F15" s="70">
        <f t="shared" si="0"/>
        <v>4.8089943310517684E-5</v>
      </c>
      <c r="G15" s="70">
        <f t="shared" si="1"/>
        <v>4.5799946010016835E-6</v>
      </c>
      <c r="H15" s="1"/>
      <c r="I15" s="1"/>
      <c r="J15" s="1"/>
      <c r="K15" s="1"/>
      <c r="L15" s="1"/>
      <c r="M15" s="70">
        <f t="shared" si="2"/>
        <v>6.3982524575993528E-13</v>
      </c>
      <c r="N15" s="206">
        <f t="shared" si="3"/>
        <v>2.5777272173184911</v>
      </c>
      <c r="O15" s="136"/>
      <c r="P15" s="80"/>
      <c r="Q15" s="77"/>
      <c r="R15" s="77"/>
      <c r="S15" s="80"/>
      <c r="T15" s="80"/>
    </row>
    <row r="16" spans="1:20">
      <c r="A16" t="s">
        <v>1194</v>
      </c>
      <c r="B16" t="s">
        <v>1580</v>
      </c>
      <c r="C16">
        <v>79</v>
      </c>
      <c r="E16" s="69">
        <f t="shared" si="4"/>
        <v>12.658227848101266</v>
      </c>
      <c r="F16" s="70">
        <f t="shared" si="0"/>
        <v>3.895894141611559E-5</v>
      </c>
      <c r="G16" s="70">
        <f t="shared" si="1"/>
        <v>3.7103753729633895E-6</v>
      </c>
      <c r="H16" s="1"/>
      <c r="I16" s="1"/>
      <c r="J16" s="1"/>
      <c r="K16" s="1"/>
      <c r="L16" s="1"/>
      <c r="M16" s="70">
        <f t="shared" si="2"/>
        <v>5.1833943960298551E-13</v>
      </c>
      <c r="N16" s="206">
        <f t="shared" si="3"/>
        <v>2.0882853406124484</v>
      </c>
      <c r="O16" s="136"/>
      <c r="P16" s="80"/>
      <c r="Q16" s="77"/>
      <c r="R16" s="77"/>
      <c r="S16" s="80"/>
      <c r="T16" s="80"/>
    </row>
    <row r="17" spans="1:20">
      <c r="A17" t="s">
        <v>1149</v>
      </c>
      <c r="B17" t="s">
        <v>1581</v>
      </c>
      <c r="C17">
        <v>110</v>
      </c>
      <c r="E17" s="69">
        <f t="shared" si="4"/>
        <v>9.0909090909090899</v>
      </c>
      <c r="F17" s="70">
        <f t="shared" si="0"/>
        <v>2.797960338066483E-5</v>
      </c>
      <c r="G17" s="70">
        <f t="shared" si="1"/>
        <v>2.6647241314918886E-6</v>
      </c>
      <c r="H17" s="1"/>
      <c r="I17" s="1"/>
      <c r="J17" s="1"/>
      <c r="K17" s="1"/>
      <c r="L17" s="1"/>
      <c r="M17" s="70">
        <f t="shared" si="2"/>
        <v>3.7226196116941687E-13</v>
      </c>
      <c r="N17" s="206">
        <f t="shared" si="3"/>
        <v>1.4997685628034856</v>
      </c>
      <c r="O17" s="136"/>
      <c r="P17" s="80"/>
      <c r="Q17" s="77"/>
      <c r="R17" s="77"/>
      <c r="S17" s="80"/>
      <c r="T17" s="80"/>
    </row>
    <row r="18" spans="1:20">
      <c r="A18" t="s">
        <v>1150</v>
      </c>
      <c r="B18" t="s">
        <v>1582</v>
      </c>
      <c r="C18">
        <v>800</v>
      </c>
      <c r="E18" s="69">
        <f t="shared" si="4"/>
        <v>1.25</v>
      </c>
      <c r="F18" s="70">
        <f t="shared" si="0"/>
        <v>3.8471954648414144E-6</v>
      </c>
      <c r="G18" s="70">
        <f t="shared" si="1"/>
        <v>3.6639956808013474E-7</v>
      </c>
      <c r="H18" s="1"/>
      <c r="I18" s="1"/>
      <c r="J18" s="1"/>
      <c r="K18" s="1"/>
      <c r="L18" s="1"/>
      <c r="M18" s="70">
        <f t="shared" si="2"/>
        <v>5.1186019660794826E-14</v>
      </c>
      <c r="N18" s="206">
        <f t="shared" si="3"/>
        <v>0.20621817738547926</v>
      </c>
      <c r="O18" s="136"/>
      <c r="P18" s="80"/>
      <c r="Q18" s="77"/>
      <c r="R18" s="77"/>
      <c r="S18" s="80"/>
      <c r="T18" s="80"/>
    </row>
    <row r="19" spans="1:20">
      <c r="A19" t="s">
        <v>1151</v>
      </c>
      <c r="B19" t="s">
        <v>1583</v>
      </c>
      <c r="C19">
        <v>472</v>
      </c>
      <c r="E19" s="69">
        <f t="shared" si="4"/>
        <v>2.1186440677966103</v>
      </c>
      <c r="F19" s="70">
        <f t="shared" si="0"/>
        <v>6.5206702793922292E-6</v>
      </c>
      <c r="G19" s="70">
        <f t="shared" si="1"/>
        <v>6.2101621708497416E-7</v>
      </c>
      <c r="H19" s="1"/>
      <c r="I19" s="1"/>
      <c r="J19" s="1"/>
      <c r="K19" s="1"/>
      <c r="L19" s="1"/>
      <c r="M19" s="70">
        <f t="shared" si="2"/>
        <v>8.6755965526770896E-14</v>
      </c>
      <c r="N19" s="206">
        <f t="shared" si="3"/>
        <v>0.34952233455165982</v>
      </c>
      <c r="O19" s="136"/>
      <c r="P19" s="80"/>
      <c r="Q19" s="77"/>
      <c r="R19" s="77"/>
      <c r="S19" s="80"/>
      <c r="T19" s="80"/>
    </row>
    <row r="20" spans="1:20">
      <c r="A20" t="s">
        <v>1152</v>
      </c>
      <c r="B20" t="s">
        <v>1584</v>
      </c>
      <c r="C20">
        <v>308</v>
      </c>
      <c r="E20" s="69">
        <f t="shared" si="4"/>
        <v>3.2467532467532472</v>
      </c>
      <c r="F20" s="70">
        <f t="shared" si="0"/>
        <v>9.992715493094585E-6</v>
      </c>
      <c r="G20" s="70">
        <f t="shared" si="1"/>
        <v>9.5168718981853192E-7</v>
      </c>
      <c r="H20" s="1"/>
      <c r="I20" s="1"/>
      <c r="J20" s="1"/>
      <c r="K20" s="1"/>
      <c r="L20" s="1"/>
      <c r="M20" s="70">
        <f t="shared" si="2"/>
        <v>1.3295070041764892E-13</v>
      </c>
      <c r="N20" s="206">
        <f t="shared" si="3"/>
        <v>0.53563162957267352</v>
      </c>
      <c r="O20" s="136"/>
      <c r="P20" s="80"/>
      <c r="Q20" s="77"/>
      <c r="R20" s="77"/>
      <c r="S20" s="80"/>
      <c r="T20" s="80"/>
    </row>
    <row r="21" spans="1:20">
      <c r="A21" t="s">
        <v>1153</v>
      </c>
      <c r="B21" t="s">
        <v>1585</v>
      </c>
      <c r="C21">
        <v>1010</v>
      </c>
      <c r="E21" s="69">
        <f t="shared" si="4"/>
        <v>0.99009900990099009</v>
      </c>
      <c r="F21" s="70">
        <f t="shared" si="0"/>
        <v>3.0472835365080512E-6</v>
      </c>
      <c r="G21" s="70">
        <f t="shared" si="1"/>
        <v>2.902174796674334E-7</v>
      </c>
      <c r="H21" s="1"/>
      <c r="I21" s="1"/>
      <c r="J21" s="1"/>
      <c r="K21" s="1"/>
      <c r="L21" s="1"/>
      <c r="M21" s="70">
        <f t="shared" si="2"/>
        <v>4.0543381909540456E-14</v>
      </c>
      <c r="N21" s="206">
        <f t="shared" si="3"/>
        <v>0.16334113060235983</v>
      </c>
      <c r="O21" s="136"/>
      <c r="P21" s="80"/>
      <c r="Q21" s="77"/>
      <c r="R21" s="77"/>
      <c r="S21" s="80"/>
      <c r="T21" s="80"/>
    </row>
    <row r="22" spans="1:20">
      <c r="A22" t="s">
        <v>1083</v>
      </c>
      <c r="B22" t="s">
        <v>1586</v>
      </c>
      <c r="C22">
        <v>12</v>
      </c>
      <c r="E22" s="69">
        <f t="shared" si="4"/>
        <v>83.333333333333329</v>
      </c>
      <c r="F22" s="70">
        <f t="shared" si="0"/>
        <v>2.5647969765609429E-4</v>
      </c>
      <c r="G22" s="70">
        <f t="shared" si="1"/>
        <v>2.4426637872008983E-5</v>
      </c>
      <c r="H22" s="1"/>
      <c r="I22" s="1"/>
      <c r="J22" s="1"/>
      <c r="K22" s="1"/>
      <c r="L22" s="1"/>
      <c r="M22" s="70">
        <f t="shared" si="2"/>
        <v>3.4124013107196547E-12</v>
      </c>
      <c r="N22" s="206">
        <f t="shared" si="3"/>
        <v>13.747878492365283</v>
      </c>
      <c r="O22" s="136"/>
      <c r="P22" s="80"/>
      <c r="Q22" s="77"/>
      <c r="R22" s="77"/>
      <c r="S22" s="80"/>
      <c r="T22" s="80"/>
    </row>
    <row r="23" spans="1:20">
      <c r="A23" t="s">
        <v>1084</v>
      </c>
      <c r="B23" t="s">
        <v>1587</v>
      </c>
      <c r="C23">
        <v>16</v>
      </c>
      <c r="E23" s="69">
        <f t="shared" si="4"/>
        <v>62.5</v>
      </c>
      <c r="F23" s="70">
        <f t="shared" si="0"/>
        <v>1.9235977324207073E-4</v>
      </c>
      <c r="G23" s="70">
        <f t="shared" si="1"/>
        <v>1.8319978404006734E-5</v>
      </c>
      <c r="H23" s="1"/>
      <c r="I23" s="1"/>
      <c r="J23" s="1"/>
      <c r="K23" s="1"/>
      <c r="L23" s="1"/>
      <c r="M23" s="70">
        <f t="shared" si="2"/>
        <v>2.5593009830397411E-12</v>
      </c>
      <c r="N23" s="206">
        <f t="shared" si="3"/>
        <v>10.310908869273964</v>
      </c>
      <c r="O23" s="136"/>
      <c r="P23" s="80"/>
      <c r="Q23" s="77"/>
      <c r="R23" s="77"/>
      <c r="S23" s="80"/>
      <c r="T23" s="80"/>
    </row>
    <row r="24" spans="1:20">
      <c r="A24" t="s">
        <v>1154</v>
      </c>
      <c r="B24" t="s">
        <v>1588</v>
      </c>
      <c r="C24">
        <v>80</v>
      </c>
      <c r="E24" s="69">
        <f t="shared" si="4"/>
        <v>12.5</v>
      </c>
      <c r="F24" s="70">
        <f t="shared" si="0"/>
        <v>3.8471954648414144E-5</v>
      </c>
      <c r="G24" s="70">
        <f t="shared" si="1"/>
        <v>3.6639956808013469E-6</v>
      </c>
      <c r="H24" s="1"/>
      <c r="I24" s="1"/>
      <c r="J24" s="1"/>
      <c r="K24" s="1"/>
      <c r="L24" s="1"/>
      <c r="M24" s="70">
        <f t="shared" si="2"/>
        <v>5.1186019660794821E-13</v>
      </c>
      <c r="N24" s="206">
        <f t="shared" si="3"/>
        <v>2.062181773854793</v>
      </c>
      <c r="O24" s="136"/>
      <c r="P24" s="80"/>
      <c r="Q24" s="77"/>
      <c r="R24" s="77"/>
      <c r="S24" s="80"/>
      <c r="T24" s="80"/>
    </row>
    <row r="25" spans="1:20">
      <c r="A25" t="s">
        <v>1155</v>
      </c>
      <c r="B25" t="s">
        <v>1589</v>
      </c>
      <c r="C25">
        <v>55</v>
      </c>
      <c r="E25" s="69">
        <f t="shared" si="4"/>
        <v>18.18181818181818</v>
      </c>
      <c r="F25" s="70">
        <f t="shared" si="0"/>
        <v>5.595920676132966E-5</v>
      </c>
      <c r="G25" s="70">
        <f t="shared" si="1"/>
        <v>5.3294482629837772E-6</v>
      </c>
      <c r="H25" s="1"/>
      <c r="I25" s="1"/>
      <c r="J25" s="1"/>
      <c r="K25" s="1"/>
      <c r="L25" s="1"/>
      <c r="M25" s="70">
        <f t="shared" si="2"/>
        <v>7.4452392233883374E-13</v>
      </c>
      <c r="N25" s="206">
        <f t="shared" si="3"/>
        <v>2.9995371256069712</v>
      </c>
      <c r="O25" s="136"/>
      <c r="P25" s="80"/>
      <c r="Q25" s="77"/>
      <c r="R25" s="77"/>
      <c r="S25" s="80"/>
      <c r="T25" s="80"/>
    </row>
    <row r="26" spans="1:20">
      <c r="A26" t="s">
        <v>1156</v>
      </c>
      <c r="B26" t="s">
        <v>1590</v>
      </c>
      <c r="C26">
        <v>205</v>
      </c>
      <c r="E26" s="69">
        <f t="shared" si="4"/>
        <v>4.8780487804878048</v>
      </c>
      <c r="F26" s="70">
        <f t="shared" si="0"/>
        <v>1.5013445716454301E-5</v>
      </c>
      <c r="G26" s="70">
        <f t="shared" si="1"/>
        <v>1.4298519729956475E-6</v>
      </c>
      <c r="H26" s="1"/>
      <c r="I26" s="1"/>
      <c r="J26" s="1"/>
      <c r="K26" s="1"/>
      <c r="L26" s="1"/>
      <c r="M26" s="70">
        <f t="shared" si="2"/>
        <v>1.99750320627492E-13</v>
      </c>
      <c r="N26" s="206">
        <f t="shared" si="3"/>
        <v>0.804753862967724</v>
      </c>
      <c r="O26" s="136"/>
      <c r="P26" s="80"/>
      <c r="Q26" s="77"/>
      <c r="R26" s="77"/>
      <c r="S26" s="80"/>
      <c r="T26" s="80"/>
    </row>
    <row r="27" spans="1:20">
      <c r="A27" t="s">
        <v>1157</v>
      </c>
      <c r="B27" t="s">
        <v>1591</v>
      </c>
      <c r="C27">
        <v>270</v>
      </c>
      <c r="E27" s="69">
        <f t="shared" si="4"/>
        <v>3.7037037037037037</v>
      </c>
      <c r="F27" s="70">
        <f t="shared" si="0"/>
        <v>1.139909767360419E-5</v>
      </c>
      <c r="G27" s="70">
        <f t="shared" si="1"/>
        <v>1.0856283498670658E-6</v>
      </c>
      <c r="H27" s="1"/>
      <c r="I27" s="1"/>
      <c r="J27" s="1"/>
      <c r="K27" s="1"/>
      <c r="L27" s="1"/>
      <c r="M27" s="70">
        <f t="shared" si="2"/>
        <v>1.516622804764291E-13</v>
      </c>
      <c r="N27" s="206">
        <f t="shared" si="3"/>
        <v>0.61101682188290152</v>
      </c>
      <c r="O27" s="136"/>
      <c r="P27" s="80"/>
      <c r="Q27" s="77"/>
      <c r="R27" s="77"/>
      <c r="S27" s="80"/>
      <c r="T27" s="80"/>
    </row>
    <row r="28" spans="1:20">
      <c r="A28" t="s">
        <v>1158</v>
      </c>
      <c r="B28" t="s">
        <v>1592</v>
      </c>
      <c r="C28">
        <v>1100</v>
      </c>
      <c r="E28" s="69">
        <f t="shared" si="4"/>
        <v>0.90909090909090906</v>
      </c>
      <c r="F28" s="70">
        <f t="shared" si="0"/>
        <v>2.7979603380664832E-6</v>
      </c>
      <c r="G28" s="70">
        <f t="shared" si="1"/>
        <v>2.6647241314918886E-7</v>
      </c>
      <c r="H28" s="1"/>
      <c r="I28" s="1"/>
      <c r="J28" s="1"/>
      <c r="K28" s="1"/>
      <c r="L28" s="1"/>
      <c r="M28" s="70">
        <f t="shared" si="2"/>
        <v>3.7226196116941687E-14</v>
      </c>
      <c r="N28" s="206">
        <f t="shared" si="3"/>
        <v>0.14997685628034854</v>
      </c>
      <c r="O28" s="136"/>
      <c r="P28" s="80"/>
      <c r="Q28" s="77"/>
      <c r="R28" s="77"/>
      <c r="S28" s="80"/>
      <c r="T28" s="80"/>
    </row>
    <row r="29" spans="1:20">
      <c r="A29" t="s">
        <v>1159</v>
      </c>
      <c r="B29" t="s">
        <v>1593</v>
      </c>
      <c r="C29">
        <v>1100</v>
      </c>
      <c r="E29" s="69">
        <f t="shared" si="4"/>
        <v>0.90909090909090906</v>
      </c>
      <c r="F29" s="70">
        <f t="shared" si="0"/>
        <v>2.7979603380664832E-6</v>
      </c>
      <c r="G29" s="70">
        <f t="shared" si="1"/>
        <v>2.6647241314918886E-7</v>
      </c>
      <c r="H29" s="1"/>
      <c r="I29" s="1"/>
      <c r="J29" s="1"/>
      <c r="K29" s="1"/>
      <c r="L29" s="1"/>
      <c r="M29" s="70">
        <f t="shared" si="2"/>
        <v>3.7226196116941687E-14</v>
      </c>
      <c r="N29" s="206">
        <f t="shared" si="3"/>
        <v>0.14997685628034854</v>
      </c>
      <c r="O29" s="136"/>
      <c r="P29" s="80"/>
      <c r="Q29" s="77"/>
      <c r="R29" s="77"/>
      <c r="S29" s="80"/>
      <c r="T29" s="80"/>
    </row>
    <row r="30" spans="1:20">
      <c r="A30" t="s">
        <v>1097</v>
      </c>
      <c r="B30" t="s">
        <v>1594</v>
      </c>
      <c r="C30">
        <v>11</v>
      </c>
      <c r="E30" s="69">
        <f t="shared" si="4"/>
        <v>90.909090909090907</v>
      </c>
      <c r="F30" s="70">
        <f t="shared" si="0"/>
        <v>2.7979603380664831E-4</v>
      </c>
      <c r="G30" s="70">
        <f t="shared" si="1"/>
        <v>2.6647241314918888E-5</v>
      </c>
      <c r="H30" s="1"/>
      <c r="I30" s="1"/>
      <c r="J30" s="1"/>
      <c r="K30" s="1"/>
      <c r="L30" s="1"/>
      <c r="M30" s="70">
        <f t="shared" si="2"/>
        <v>3.7226196116941693E-12</v>
      </c>
      <c r="N30" s="206">
        <f t="shared" si="3"/>
        <v>14.997685628034855</v>
      </c>
      <c r="O30" s="136"/>
      <c r="P30" s="80"/>
      <c r="Q30" s="77"/>
      <c r="R30" s="77"/>
      <c r="S30" s="80"/>
      <c r="T30" s="80"/>
    </row>
    <row r="31" spans="1:20">
      <c r="A31" t="s">
        <v>640</v>
      </c>
      <c r="B31" t="s">
        <v>1595</v>
      </c>
      <c r="C31">
        <v>55</v>
      </c>
      <c r="E31" s="69">
        <f t="shared" si="4"/>
        <v>18.18181818181818</v>
      </c>
      <c r="F31" s="70">
        <f t="shared" si="0"/>
        <v>5.595920676132966E-5</v>
      </c>
      <c r="G31" s="70">
        <f t="shared" si="1"/>
        <v>5.3294482629837772E-6</v>
      </c>
      <c r="H31" s="1"/>
      <c r="I31" s="1"/>
      <c r="J31" s="1"/>
      <c r="K31" s="1"/>
      <c r="L31" s="1"/>
      <c r="M31" s="70">
        <f t="shared" si="2"/>
        <v>7.4452392233883374E-13</v>
      </c>
      <c r="N31" s="206">
        <f t="shared" si="3"/>
        <v>2.9995371256069712</v>
      </c>
      <c r="O31" s="136"/>
      <c r="P31" s="80"/>
      <c r="Q31" s="77"/>
      <c r="R31" s="77"/>
      <c r="S31" s="80"/>
      <c r="T31" s="80"/>
    </row>
    <row r="32" spans="1:20">
      <c r="A32" t="s">
        <v>1160</v>
      </c>
      <c r="B32" t="s">
        <v>1596</v>
      </c>
      <c r="C32">
        <v>268</v>
      </c>
      <c r="E32" s="69">
        <f t="shared" si="4"/>
        <v>3.7313432835820897</v>
      </c>
      <c r="F32" s="70">
        <f t="shared" si="0"/>
        <v>1.148416556669079E-5</v>
      </c>
      <c r="G32" s="70">
        <f t="shared" si="1"/>
        <v>1.0937300539705514E-6</v>
      </c>
      <c r="H32" s="1"/>
      <c r="I32" s="1"/>
      <c r="J32" s="1"/>
      <c r="K32" s="1"/>
      <c r="L32" s="1"/>
      <c r="M32" s="70">
        <f t="shared" si="2"/>
        <v>1.5279408853968604E-13</v>
      </c>
      <c r="N32" s="206">
        <f t="shared" si="3"/>
        <v>0.61557664891187835</v>
      </c>
      <c r="O32" s="136"/>
      <c r="P32" s="80"/>
      <c r="Q32" s="77"/>
      <c r="R32" s="77"/>
      <c r="S32" s="80"/>
      <c r="T32" s="80"/>
    </row>
    <row r="33" spans="1:20">
      <c r="A33" t="s">
        <v>1161</v>
      </c>
      <c r="B33" t="s">
        <v>1578</v>
      </c>
      <c r="C33">
        <v>700</v>
      </c>
      <c r="E33" s="69">
        <f t="shared" si="4"/>
        <v>1.4285714285714286</v>
      </c>
      <c r="F33" s="70">
        <f t="shared" si="0"/>
        <v>4.3967948169616168E-6</v>
      </c>
      <c r="G33" s="70">
        <f t="shared" si="1"/>
        <v>4.1874236352015398E-7</v>
      </c>
      <c r="H33" s="1"/>
      <c r="I33" s="1"/>
      <c r="J33" s="1"/>
      <c r="K33" s="1"/>
      <c r="L33" s="1"/>
      <c r="M33" s="70">
        <f t="shared" si="2"/>
        <v>5.8498308183765519E-14</v>
      </c>
      <c r="N33" s="206">
        <f t="shared" si="3"/>
        <v>0.23567791701197632</v>
      </c>
      <c r="O33" s="136"/>
      <c r="P33" s="80"/>
      <c r="Q33" s="77"/>
      <c r="R33" s="77"/>
      <c r="S33" s="80"/>
      <c r="T33" s="80"/>
    </row>
    <row r="34" spans="1:20">
      <c r="A34" t="s">
        <v>1085</v>
      </c>
      <c r="B34" t="s">
        <v>1597</v>
      </c>
      <c r="C34">
        <v>16</v>
      </c>
      <c r="E34" s="69">
        <f t="shared" si="4"/>
        <v>62.5</v>
      </c>
      <c r="F34" s="70">
        <f t="shared" si="0"/>
        <v>1.9235977324207073E-4</v>
      </c>
      <c r="G34" s="70">
        <f t="shared" si="1"/>
        <v>1.8319978404006734E-5</v>
      </c>
      <c r="H34" s="1"/>
      <c r="I34" s="1"/>
      <c r="J34" s="1"/>
      <c r="K34" s="1"/>
      <c r="L34" s="1"/>
      <c r="M34" s="70">
        <f t="shared" si="2"/>
        <v>2.5593009830397411E-12</v>
      </c>
      <c r="N34" s="206">
        <f t="shared" si="3"/>
        <v>10.310908869273964</v>
      </c>
      <c r="O34" s="136"/>
      <c r="P34" s="80"/>
      <c r="Q34" s="77"/>
      <c r="R34" s="77"/>
      <c r="S34" s="80"/>
      <c r="T34" s="80"/>
    </row>
    <row r="35" spans="1:20">
      <c r="A35" t="s">
        <v>1051</v>
      </c>
      <c r="B35" t="s">
        <v>1598</v>
      </c>
      <c r="C35">
        <v>0.3</v>
      </c>
      <c r="E35" s="69">
        <f t="shared" si="4"/>
        <v>3333.3333333333335</v>
      </c>
      <c r="F35" s="70">
        <f t="shared" si="0"/>
        <v>1.0259187906243774E-2</v>
      </c>
      <c r="G35" s="70">
        <f t="shared" si="1"/>
        <v>9.7706551488035932E-4</v>
      </c>
      <c r="H35" s="1"/>
      <c r="I35" s="1"/>
      <c r="J35" s="1"/>
      <c r="K35" s="1"/>
      <c r="L35" s="1"/>
      <c r="M35" s="70">
        <f t="shared" si="2"/>
        <v>1.364960524287862E-10</v>
      </c>
      <c r="N35" s="206">
        <f t="shared" si="3"/>
        <v>549.91513969461153</v>
      </c>
      <c r="O35" s="136"/>
      <c r="P35" s="80"/>
      <c r="Q35" s="77"/>
      <c r="R35" s="77"/>
      <c r="S35" s="80"/>
      <c r="T35" s="80"/>
    </row>
    <row r="36" spans="1:20">
      <c r="A36" t="s">
        <v>1052</v>
      </c>
      <c r="B36" t="s">
        <v>1599</v>
      </c>
      <c r="C36">
        <v>1.1200000000000001</v>
      </c>
      <c r="E36" s="69">
        <f t="shared" si="4"/>
        <v>892.85714285714278</v>
      </c>
      <c r="F36" s="70">
        <f t="shared" si="0"/>
        <v>2.7479967606010101E-3</v>
      </c>
      <c r="G36" s="70">
        <f t="shared" si="1"/>
        <v>2.6171397720009618E-4</v>
      </c>
      <c r="H36" s="1"/>
      <c r="I36" s="1"/>
      <c r="J36" s="1"/>
      <c r="K36" s="1"/>
      <c r="L36" s="1"/>
      <c r="M36" s="70">
        <f t="shared" si="2"/>
        <v>3.6561442614853443E-11</v>
      </c>
      <c r="N36" s="206">
        <f t="shared" si="3"/>
        <v>147.29869813248519</v>
      </c>
      <c r="O36" s="136"/>
      <c r="P36" s="80"/>
      <c r="Q36" s="77"/>
      <c r="R36" s="77"/>
      <c r="S36" s="80"/>
      <c r="T36" s="80"/>
    </row>
    <row r="37" spans="1:20">
      <c r="A37" t="s">
        <v>1053</v>
      </c>
      <c r="B37" t="s">
        <v>1600</v>
      </c>
      <c r="C37">
        <v>2</v>
      </c>
      <c r="E37" s="69">
        <f t="shared" si="4"/>
        <v>500</v>
      </c>
      <c r="F37" s="70">
        <f t="shared" si="0"/>
        <v>1.5388781859365659E-3</v>
      </c>
      <c r="G37" s="70">
        <f t="shared" si="1"/>
        <v>1.4655982723205387E-4</v>
      </c>
      <c r="H37" s="1"/>
      <c r="I37" s="1"/>
      <c r="J37" s="1"/>
      <c r="K37" s="1"/>
      <c r="L37" s="1"/>
      <c r="M37" s="70">
        <f t="shared" si="2"/>
        <v>2.0474407864317929E-11</v>
      </c>
      <c r="N37" s="206">
        <f t="shared" si="3"/>
        <v>82.487270954191715</v>
      </c>
      <c r="O37" s="136"/>
      <c r="P37" s="80"/>
      <c r="Q37" s="77"/>
      <c r="R37" s="77"/>
      <c r="S37" s="80"/>
      <c r="T37" s="80"/>
    </row>
    <row r="38" spans="1:20" s="45" customFormat="1">
      <c r="A38" s="48" t="s">
        <v>1162</v>
      </c>
      <c r="B38" s="45" t="s">
        <v>1601</v>
      </c>
      <c r="C38" s="45">
        <v>190</v>
      </c>
      <c r="E38" s="90">
        <f t="shared" si="4"/>
        <v>5.2631578947368416</v>
      </c>
      <c r="F38" s="129">
        <f t="shared" si="0"/>
        <v>1.6198717746700693E-5</v>
      </c>
      <c r="G38" s="129">
        <f t="shared" si="1"/>
        <v>1.5427350234953042E-6</v>
      </c>
      <c r="H38" s="128"/>
      <c r="I38" s="128"/>
      <c r="J38" s="128"/>
      <c r="K38" s="128"/>
      <c r="L38" s="128"/>
      <c r="M38" s="129">
        <f t="shared" si="2"/>
        <v>2.1552008278229394E-13</v>
      </c>
      <c r="N38" s="206">
        <f t="shared" si="3"/>
        <v>0.86828706267570221</v>
      </c>
      <c r="O38" s="134"/>
      <c r="P38" s="138"/>
      <c r="Q38" s="79"/>
      <c r="R38" s="79"/>
      <c r="S38" s="138"/>
      <c r="T38" s="138"/>
    </row>
    <row r="39" spans="1:20">
      <c r="A39" t="s">
        <v>1163</v>
      </c>
      <c r="B39" t="s">
        <v>1164</v>
      </c>
      <c r="C39">
        <v>365</v>
      </c>
      <c r="E39" s="69">
        <f t="shared" si="4"/>
        <v>2.7397260273972601</v>
      </c>
      <c r="F39" s="70">
        <f t="shared" si="0"/>
        <v>8.4322092380085789E-6</v>
      </c>
      <c r="G39" s="70">
        <f t="shared" si="1"/>
        <v>8.0306754647700755E-7</v>
      </c>
      <c r="H39" s="1"/>
      <c r="I39" s="1"/>
      <c r="J39" s="1"/>
      <c r="K39" s="1"/>
      <c r="L39" s="1"/>
      <c r="M39" s="70">
        <f t="shared" si="2"/>
        <v>1.1218853624283797E-13</v>
      </c>
      <c r="N39" s="206">
        <f t="shared" si="3"/>
        <v>0.45198504632433811</v>
      </c>
      <c r="O39" s="136"/>
      <c r="P39" s="80"/>
      <c r="Q39" s="77"/>
      <c r="R39" s="77"/>
      <c r="S39" s="80"/>
      <c r="T39" s="80"/>
    </row>
    <row r="40" spans="1:20">
      <c r="A40" t="s">
        <v>1165</v>
      </c>
      <c r="B40" t="s">
        <v>1602</v>
      </c>
      <c r="C40">
        <v>254</v>
      </c>
      <c r="E40" s="69">
        <f t="shared" si="4"/>
        <v>3.9370078740157481</v>
      </c>
      <c r="F40" s="70">
        <f t="shared" si="0"/>
        <v>1.211715107036666E-5</v>
      </c>
      <c r="G40" s="70">
        <f t="shared" si="1"/>
        <v>1.1540143876539677E-6</v>
      </c>
      <c r="H40" s="1"/>
      <c r="I40" s="1"/>
      <c r="J40" s="1"/>
      <c r="K40" s="1"/>
      <c r="L40" s="1"/>
      <c r="M40" s="70">
        <f t="shared" si="2"/>
        <v>1.612158099552593E-13</v>
      </c>
      <c r="N40" s="206">
        <f t="shared" si="3"/>
        <v>0.64950607050544662</v>
      </c>
      <c r="O40" s="136"/>
      <c r="P40" s="80"/>
      <c r="Q40" s="77"/>
      <c r="R40" s="77"/>
      <c r="S40" s="80"/>
      <c r="T40" s="80"/>
    </row>
    <row r="41" spans="1:20">
      <c r="A41" t="s">
        <v>1166</v>
      </c>
      <c r="B41" t="s">
        <v>1603</v>
      </c>
      <c r="C41">
        <v>630</v>
      </c>
      <c r="E41" s="69">
        <f t="shared" si="4"/>
        <v>1.5873015873015872</v>
      </c>
      <c r="F41" s="70">
        <f t="shared" si="0"/>
        <v>4.8853275744017959E-6</v>
      </c>
      <c r="G41" s="70">
        <f t="shared" si="1"/>
        <v>4.6526929280017102E-7</v>
      </c>
      <c r="H41" s="1"/>
      <c r="I41" s="1"/>
      <c r="J41" s="1"/>
      <c r="K41" s="1"/>
      <c r="L41" s="1"/>
      <c r="M41" s="70">
        <f t="shared" si="2"/>
        <v>6.4998120204183896E-14</v>
      </c>
      <c r="N41" s="206">
        <f t="shared" si="3"/>
        <v>0.26186435223552923</v>
      </c>
      <c r="O41" s="136"/>
      <c r="P41" s="80"/>
      <c r="Q41" s="77"/>
      <c r="R41" s="77"/>
      <c r="S41" s="80"/>
      <c r="T41" s="80"/>
    </row>
    <row r="42" spans="1:20">
      <c r="A42" t="s">
        <v>1086</v>
      </c>
      <c r="B42" t="s">
        <v>1604</v>
      </c>
      <c r="C42">
        <v>158</v>
      </c>
      <c r="E42" s="69">
        <f t="shared" si="4"/>
        <v>6.3291139240506329</v>
      </c>
      <c r="F42" s="70">
        <f t="shared" si="0"/>
        <v>1.9479470708057795E-5</v>
      </c>
      <c r="G42" s="70">
        <f t="shared" si="1"/>
        <v>1.8551876864816948E-6</v>
      </c>
      <c r="H42" s="1"/>
      <c r="I42" s="1"/>
      <c r="J42" s="1"/>
      <c r="K42" s="1"/>
      <c r="L42" s="1"/>
      <c r="M42" s="70">
        <f t="shared" si="2"/>
        <v>2.5916971980149275E-13</v>
      </c>
      <c r="N42" s="206">
        <f t="shared" si="3"/>
        <v>1.0441426703062242</v>
      </c>
      <c r="O42" s="136"/>
      <c r="P42" s="80"/>
      <c r="Q42" s="77"/>
      <c r="R42" s="77"/>
      <c r="S42" s="80"/>
      <c r="T42" s="80"/>
    </row>
    <row r="43" spans="1:20">
      <c r="A43" t="s">
        <v>1087</v>
      </c>
      <c r="B43" t="s">
        <v>1605</v>
      </c>
      <c r="C43">
        <v>288</v>
      </c>
      <c r="E43" s="69">
        <f t="shared" si="4"/>
        <v>3.4722222222222219</v>
      </c>
      <c r="F43" s="70">
        <f t="shared" si="0"/>
        <v>1.0686654069003928E-5</v>
      </c>
      <c r="G43" s="70">
        <f t="shared" si="1"/>
        <v>1.0177765780003742E-6</v>
      </c>
      <c r="H43" s="1"/>
      <c r="I43" s="1"/>
      <c r="J43" s="1"/>
      <c r="K43" s="1"/>
      <c r="L43" s="1"/>
      <c r="M43" s="70">
        <f t="shared" si="2"/>
        <v>1.4218338794665228E-13</v>
      </c>
      <c r="N43" s="206">
        <f t="shared" si="3"/>
        <v>0.57282827051522023</v>
      </c>
      <c r="O43" s="136"/>
      <c r="P43" s="80"/>
      <c r="Q43" s="77"/>
      <c r="R43" s="77"/>
      <c r="S43" s="80"/>
      <c r="T43" s="80"/>
    </row>
    <row r="44" spans="1:20">
      <c r="A44" t="s">
        <v>1167</v>
      </c>
      <c r="B44" t="s">
        <v>1606</v>
      </c>
      <c r="C44">
        <v>1049</v>
      </c>
      <c r="E44" s="69">
        <f t="shared" si="4"/>
        <v>0.95328884652049573</v>
      </c>
      <c r="F44" s="70">
        <f t="shared" si="0"/>
        <v>2.9339908216140437E-6</v>
      </c>
      <c r="G44" s="70">
        <f t="shared" si="1"/>
        <v>2.7942769729657558E-7</v>
      </c>
      <c r="H44" s="1"/>
      <c r="I44" s="1"/>
      <c r="J44" s="1"/>
      <c r="K44" s="1"/>
      <c r="L44" s="1"/>
      <c r="M44" s="70">
        <f t="shared" si="2"/>
        <v>3.9036049312331611E-14</v>
      </c>
      <c r="N44" s="206">
        <f t="shared" si="3"/>
        <v>0.15726839076109003</v>
      </c>
      <c r="O44" s="136"/>
      <c r="P44" s="80"/>
      <c r="Q44" s="77"/>
      <c r="R44" s="77"/>
      <c r="S44" s="80"/>
      <c r="T44" s="80"/>
    </row>
    <row r="45" spans="1:20">
      <c r="A45" t="s">
        <v>1168</v>
      </c>
      <c r="B45" t="s">
        <v>1169</v>
      </c>
      <c r="C45">
        <v>1635</v>
      </c>
      <c r="E45" s="69">
        <f t="shared" si="4"/>
        <v>0.6116207951070336</v>
      </c>
      <c r="F45" s="70">
        <f t="shared" si="0"/>
        <v>1.8824197993107837E-6</v>
      </c>
      <c r="G45" s="70">
        <f t="shared" si="1"/>
        <v>1.7927807612483655E-7</v>
      </c>
      <c r="M45" s="70">
        <f t="shared" si="2"/>
        <v>2.5045147234639669E-14</v>
      </c>
      <c r="N45" s="206">
        <f t="shared" si="3"/>
        <v>0.10090186049442409</v>
      </c>
      <c r="O45" s="136"/>
      <c r="P45" s="80"/>
      <c r="Q45" s="77"/>
      <c r="R45" s="77"/>
      <c r="S45" s="80"/>
      <c r="T45" s="80"/>
    </row>
    <row r="46" spans="1:20">
      <c r="A46" t="s">
        <v>1170</v>
      </c>
      <c r="B46" t="s">
        <v>1607</v>
      </c>
      <c r="C46">
        <v>380</v>
      </c>
      <c r="E46" s="69">
        <f t="shared" si="4"/>
        <v>2.6315789473684208</v>
      </c>
      <c r="F46" s="70">
        <f t="shared" si="0"/>
        <v>8.0993588733503465E-6</v>
      </c>
      <c r="G46" s="70">
        <f t="shared" si="1"/>
        <v>7.7136751174765208E-7</v>
      </c>
      <c r="M46" s="70">
        <f t="shared" si="2"/>
        <v>1.0776004139114697E-13</v>
      </c>
      <c r="N46" s="206">
        <f t="shared" si="3"/>
        <v>0.43414353133785111</v>
      </c>
      <c r="O46" s="136"/>
      <c r="P46" s="80"/>
      <c r="Q46" s="77"/>
      <c r="R46" s="77"/>
      <c r="S46" s="80"/>
      <c r="T46" s="80"/>
    </row>
    <row r="47" spans="1:20">
      <c r="A47" t="s">
        <v>1088</v>
      </c>
      <c r="B47" t="s">
        <v>1608</v>
      </c>
      <c r="C47">
        <v>37</v>
      </c>
      <c r="E47" s="69">
        <f t="shared" si="4"/>
        <v>27.027027027027028</v>
      </c>
      <c r="F47" s="70">
        <f t="shared" si="0"/>
        <v>8.3182604645219775E-5</v>
      </c>
      <c r="G47" s="70">
        <f t="shared" si="1"/>
        <v>7.9221528233542637E-6</v>
      </c>
      <c r="M47" s="70">
        <f t="shared" si="2"/>
        <v>1.1067247494225908E-12</v>
      </c>
      <c r="N47" s="206">
        <f t="shared" si="3"/>
        <v>4.4587714029292815</v>
      </c>
      <c r="O47" s="136"/>
      <c r="P47" s="80"/>
      <c r="Q47" s="77"/>
      <c r="R47" s="77"/>
      <c r="S47" s="80"/>
      <c r="T47" s="80"/>
    </row>
    <row r="48" spans="1:20">
      <c r="A48" t="s">
        <v>1089</v>
      </c>
      <c r="B48" t="s">
        <v>1609</v>
      </c>
      <c r="C48">
        <v>20</v>
      </c>
      <c r="D48" t="s">
        <v>1090</v>
      </c>
      <c r="E48" s="69">
        <f t="shared" si="4"/>
        <v>50</v>
      </c>
      <c r="F48" s="70">
        <f t="shared" si="0"/>
        <v>1.5388781859365658E-4</v>
      </c>
      <c r="G48" s="70">
        <f t="shared" si="1"/>
        <v>1.4655982723205388E-5</v>
      </c>
      <c r="M48" s="70">
        <f t="shared" si="2"/>
        <v>2.0474407864317928E-12</v>
      </c>
      <c r="N48" s="206">
        <f t="shared" si="3"/>
        <v>8.2487270954191718</v>
      </c>
      <c r="O48" s="136"/>
      <c r="P48" s="80"/>
      <c r="Q48" s="77"/>
      <c r="R48" s="77"/>
      <c r="S48" s="80"/>
      <c r="T48" s="80"/>
    </row>
    <row r="49" spans="1:20">
      <c r="A49" t="s">
        <v>1054</v>
      </c>
      <c r="B49" t="s">
        <v>1610</v>
      </c>
      <c r="C49">
        <v>39</v>
      </c>
      <c r="E49" s="69">
        <f t="shared" si="4"/>
        <v>25.641025641025639</v>
      </c>
      <c r="F49" s="70">
        <f t="shared" si="0"/>
        <v>7.8916830048029009E-5</v>
      </c>
      <c r="G49" s="70">
        <f t="shared" si="1"/>
        <v>7.5158885760027634E-6</v>
      </c>
      <c r="M49" s="70">
        <f t="shared" si="2"/>
        <v>1.049969634067586E-12</v>
      </c>
      <c r="N49" s="206">
        <f t="shared" si="3"/>
        <v>4.2301164591893183</v>
      </c>
      <c r="O49" s="136"/>
      <c r="P49" s="80"/>
      <c r="Q49" s="77"/>
      <c r="R49" s="77"/>
      <c r="S49" s="80"/>
      <c r="T49" s="80"/>
    </row>
    <row r="50" spans="1:20">
      <c r="A50" t="s">
        <v>1055</v>
      </c>
      <c r="B50" t="s">
        <v>1611</v>
      </c>
      <c r="C50">
        <v>5000</v>
      </c>
      <c r="D50" t="s">
        <v>1050</v>
      </c>
      <c r="E50" s="69">
        <f t="shared" si="4"/>
        <v>0.2</v>
      </c>
      <c r="F50" s="70">
        <f t="shared" si="0"/>
        <v>6.1555127437462641E-7</v>
      </c>
      <c r="G50" s="70">
        <f t="shared" si="1"/>
        <v>5.8623930892821557E-8</v>
      </c>
      <c r="M50" s="70">
        <f t="shared" si="2"/>
        <v>8.1897631457271722E-15</v>
      </c>
      <c r="N50" s="206">
        <f t="shared" si="3"/>
        <v>3.2994908381676687E-2</v>
      </c>
      <c r="O50" s="136"/>
      <c r="P50" s="80"/>
      <c r="Q50" s="77"/>
      <c r="R50" s="77"/>
      <c r="S50" s="80"/>
      <c r="T50" s="80"/>
    </row>
    <row r="51" spans="1:20">
      <c r="A51" t="s">
        <v>1171</v>
      </c>
      <c r="B51" t="s">
        <v>1612</v>
      </c>
      <c r="C51">
        <v>300</v>
      </c>
      <c r="E51" s="69">
        <f t="shared" si="4"/>
        <v>3.3333333333333335</v>
      </c>
      <c r="F51" s="70">
        <f t="shared" si="0"/>
        <v>1.0259187906243773E-5</v>
      </c>
      <c r="G51" s="70">
        <f t="shared" si="1"/>
        <v>9.7706551488035944E-7</v>
      </c>
      <c r="M51" s="70">
        <f t="shared" si="2"/>
        <v>1.3649605242878619E-13</v>
      </c>
      <c r="N51" s="206">
        <f t="shared" si="3"/>
        <v>0.54991513969461148</v>
      </c>
      <c r="O51" s="136"/>
      <c r="P51" s="80"/>
      <c r="Q51" s="77"/>
      <c r="R51" s="77"/>
      <c r="S51" s="80"/>
      <c r="T51" s="80"/>
    </row>
    <row r="52" spans="1:20">
      <c r="A52" t="s">
        <v>1091</v>
      </c>
      <c r="B52" t="s">
        <v>1613</v>
      </c>
      <c r="C52">
        <v>8</v>
      </c>
      <c r="E52" s="69">
        <f t="shared" si="4"/>
        <v>125</v>
      </c>
      <c r="F52" s="70">
        <f t="shared" si="0"/>
        <v>3.8471954648414147E-4</v>
      </c>
      <c r="G52" s="70">
        <f t="shared" si="1"/>
        <v>3.6639956808013468E-5</v>
      </c>
      <c r="M52" s="70">
        <f t="shared" si="2"/>
        <v>5.1186019660794823E-12</v>
      </c>
      <c r="N52" s="206">
        <f t="shared" si="3"/>
        <v>20.621817738547929</v>
      </c>
      <c r="O52" s="136"/>
      <c r="P52" s="80"/>
      <c r="Q52" s="77"/>
      <c r="R52" s="77"/>
      <c r="S52" s="80"/>
      <c r="T52" s="80"/>
    </row>
    <row r="53" spans="1:20">
      <c r="A53" t="s">
        <v>1172</v>
      </c>
      <c r="B53" t="s">
        <v>1614</v>
      </c>
      <c r="C53">
        <v>250</v>
      </c>
      <c r="E53" s="69">
        <f t="shared" si="4"/>
        <v>4</v>
      </c>
      <c r="F53" s="70">
        <f t="shared" si="0"/>
        <v>1.2311025487492526E-5</v>
      </c>
      <c r="G53" s="70">
        <f t="shared" si="1"/>
        <v>1.172478617856431E-6</v>
      </c>
      <c r="M53" s="70">
        <f t="shared" si="2"/>
        <v>1.6379526291454344E-13</v>
      </c>
      <c r="N53" s="206">
        <f t="shared" si="3"/>
        <v>0.65989816763353371</v>
      </c>
      <c r="O53" s="136"/>
      <c r="P53" s="80"/>
      <c r="Q53" s="77"/>
      <c r="R53" s="77"/>
      <c r="S53" s="80"/>
      <c r="T53" s="80"/>
    </row>
    <row r="54" spans="1:20">
      <c r="A54" t="s">
        <v>1173</v>
      </c>
      <c r="B54" t="s">
        <v>1615</v>
      </c>
      <c r="C54">
        <v>325</v>
      </c>
      <c r="E54" s="69">
        <f t="shared" si="4"/>
        <v>3.0769230769230771</v>
      </c>
      <c r="F54" s="70">
        <f t="shared" si="0"/>
        <v>9.4700196057634823E-6</v>
      </c>
      <c r="G54" s="70">
        <f t="shared" si="1"/>
        <v>9.0190662912033163E-7</v>
      </c>
      <c r="M54" s="70">
        <f t="shared" si="2"/>
        <v>1.2599635608811035E-13</v>
      </c>
      <c r="N54" s="206">
        <f t="shared" si="3"/>
        <v>0.50761397510271822</v>
      </c>
      <c r="O54" s="136"/>
      <c r="P54" s="80"/>
      <c r="Q54" s="77"/>
      <c r="R54" s="77"/>
      <c r="S54" s="80"/>
      <c r="T54" s="80"/>
    </row>
    <row r="55" spans="1:20">
      <c r="A55" t="s">
        <v>1174</v>
      </c>
      <c r="B55" t="s">
        <v>1616</v>
      </c>
      <c r="C55">
        <v>400</v>
      </c>
      <c r="E55" s="69">
        <f t="shared" si="4"/>
        <v>2.5</v>
      </c>
      <c r="F55" s="70">
        <f t="shared" si="0"/>
        <v>7.6943909296828288E-6</v>
      </c>
      <c r="G55" s="70">
        <f t="shared" si="1"/>
        <v>7.3279913616026947E-7</v>
      </c>
      <c r="M55" s="70">
        <f t="shared" si="2"/>
        <v>1.0237203932158965E-13</v>
      </c>
      <c r="N55" s="206">
        <f t="shared" si="3"/>
        <v>0.41243635477095852</v>
      </c>
      <c r="O55" s="136"/>
      <c r="P55" s="80"/>
      <c r="Q55" s="77"/>
      <c r="R55" s="77"/>
      <c r="S55" s="80"/>
      <c r="T55" s="80"/>
    </row>
    <row r="56" spans="1:20">
      <c r="A56" t="s">
        <v>1175</v>
      </c>
      <c r="B56" t="s">
        <v>1617</v>
      </c>
      <c r="C56">
        <v>460</v>
      </c>
      <c r="E56" s="69">
        <f t="shared" si="4"/>
        <v>2.1739130434782608</v>
      </c>
      <c r="F56" s="70">
        <f t="shared" si="0"/>
        <v>6.6907747214633292E-6</v>
      </c>
      <c r="G56" s="70">
        <f t="shared" si="1"/>
        <v>6.3721664013936469E-7</v>
      </c>
      <c r="M56" s="70">
        <f t="shared" si="2"/>
        <v>8.9019164627469261E-14</v>
      </c>
      <c r="N56" s="206">
        <f t="shared" si="3"/>
        <v>0.3586403084964857</v>
      </c>
      <c r="O56" s="136"/>
      <c r="P56" s="80"/>
      <c r="Q56" s="77"/>
      <c r="R56" s="77"/>
      <c r="S56" s="80"/>
      <c r="T56" s="80"/>
    </row>
    <row r="57" spans="1:20">
      <c r="A57" t="s">
        <v>1056</v>
      </c>
      <c r="B57" t="s">
        <v>1618</v>
      </c>
      <c r="C57">
        <v>1.8</v>
      </c>
      <c r="E57" s="69">
        <f t="shared" si="4"/>
        <v>555.55555555555554</v>
      </c>
      <c r="F57" s="70">
        <f t="shared" si="0"/>
        <v>1.7098646510406287E-3</v>
      </c>
      <c r="G57" s="70">
        <f t="shared" si="1"/>
        <v>1.6284425248005988E-4</v>
      </c>
      <c r="M57" s="70">
        <f t="shared" si="2"/>
        <v>2.2749342071464363E-11</v>
      </c>
      <c r="N57" s="206">
        <f t="shared" si="3"/>
        <v>91.652523282435226</v>
      </c>
      <c r="O57" s="136"/>
      <c r="P57" s="80"/>
      <c r="Q57" s="77"/>
      <c r="R57" s="77"/>
      <c r="S57" s="80"/>
      <c r="T57" s="80"/>
    </row>
    <row r="58" spans="1:20">
      <c r="A58" t="s">
        <v>1176</v>
      </c>
      <c r="B58" t="s">
        <v>1177</v>
      </c>
      <c r="C58">
        <v>441</v>
      </c>
      <c r="E58" s="69">
        <f t="shared" si="4"/>
        <v>2.2675736961451247</v>
      </c>
      <c r="F58" s="70">
        <f t="shared" si="0"/>
        <v>6.9790393920025667E-6</v>
      </c>
      <c r="G58" s="70">
        <f t="shared" si="1"/>
        <v>6.6467041828595866E-7</v>
      </c>
      <c r="M58" s="70">
        <f t="shared" si="2"/>
        <v>9.2854457434548424E-14</v>
      </c>
      <c r="N58" s="206">
        <f t="shared" si="3"/>
        <v>0.37409193176504174</v>
      </c>
      <c r="O58" s="136"/>
      <c r="P58" s="80"/>
      <c r="Q58" s="77"/>
      <c r="R58" s="77"/>
      <c r="S58" s="80"/>
      <c r="T58" s="80"/>
    </row>
    <row r="59" spans="1:20">
      <c r="A59" t="s">
        <v>1092</v>
      </c>
      <c r="B59" t="s">
        <v>1619</v>
      </c>
      <c r="C59">
        <v>31</v>
      </c>
      <c r="E59" s="69">
        <f t="shared" si="4"/>
        <v>32.258064516129032</v>
      </c>
      <c r="F59" s="70">
        <f t="shared" si="0"/>
        <v>9.9282463608810713E-5</v>
      </c>
      <c r="G59" s="70">
        <f t="shared" si="1"/>
        <v>9.4554727246486376E-6</v>
      </c>
      <c r="M59" s="70">
        <f t="shared" si="2"/>
        <v>1.3209295396334148E-12</v>
      </c>
      <c r="N59" s="206">
        <f t="shared" si="3"/>
        <v>5.3217594163994653</v>
      </c>
      <c r="O59" s="136"/>
      <c r="P59" s="80"/>
      <c r="Q59" s="77"/>
      <c r="R59" s="77"/>
      <c r="S59" s="80"/>
      <c r="T59" s="80"/>
    </row>
    <row r="60" spans="1:20">
      <c r="A60" t="s">
        <v>1057</v>
      </c>
      <c r="B60" t="s">
        <v>1620</v>
      </c>
      <c r="C60">
        <v>7</v>
      </c>
      <c r="E60" s="69">
        <f t="shared" si="4"/>
        <v>142.85714285714286</v>
      </c>
      <c r="F60" s="70">
        <f t="shared" si="0"/>
        <v>4.3967948169616169E-4</v>
      </c>
      <c r="G60" s="70">
        <f t="shared" si="1"/>
        <v>4.1874236352015398E-5</v>
      </c>
      <c r="M60" s="70">
        <f t="shared" si="2"/>
        <v>5.849830818376552E-12</v>
      </c>
      <c r="N60" s="206">
        <f t="shared" si="3"/>
        <v>23.567791701197635</v>
      </c>
      <c r="O60" s="136"/>
      <c r="P60" s="80"/>
      <c r="Q60" s="77"/>
      <c r="R60" s="77"/>
      <c r="S60" s="80"/>
      <c r="T60" s="80"/>
    </row>
    <row r="61" spans="1:20">
      <c r="A61" t="s">
        <v>1178</v>
      </c>
      <c r="B61" t="s">
        <v>1621</v>
      </c>
      <c r="C61">
        <v>670</v>
      </c>
      <c r="E61" s="69">
        <f t="shared" si="4"/>
        <v>1.4925373134328359</v>
      </c>
      <c r="F61" s="70">
        <f t="shared" si="0"/>
        <v>4.5936662266763158E-6</v>
      </c>
      <c r="G61" s="70">
        <f t="shared" si="1"/>
        <v>4.3749202158822061E-7</v>
      </c>
      <c r="M61" s="70">
        <f t="shared" si="2"/>
        <v>6.1117635415874417E-14</v>
      </c>
      <c r="N61" s="206">
        <f t="shared" si="3"/>
        <v>0.24623065956475138</v>
      </c>
      <c r="O61" s="136"/>
      <c r="P61" s="80"/>
      <c r="Q61" s="77"/>
      <c r="R61" s="77"/>
      <c r="S61" s="80"/>
      <c r="T61" s="80"/>
    </row>
    <row r="62" spans="1:20">
      <c r="A62" t="s">
        <v>1179</v>
      </c>
      <c r="B62" t="s">
        <v>1559</v>
      </c>
      <c r="C62">
        <v>650</v>
      </c>
      <c r="E62" s="69">
        <f t="shared" si="4"/>
        <v>1.5384615384615385</v>
      </c>
      <c r="F62" s="70">
        <f t="shared" si="0"/>
        <v>4.7350098028817411E-6</v>
      </c>
      <c r="G62" s="70">
        <f t="shared" si="1"/>
        <v>4.5095331456016581E-7</v>
      </c>
      <c r="M62" s="70">
        <f t="shared" si="2"/>
        <v>6.2998178044055177E-14</v>
      </c>
      <c r="N62" s="206">
        <f t="shared" si="3"/>
        <v>0.25380698755135911</v>
      </c>
      <c r="O62" s="136"/>
      <c r="P62" s="80"/>
      <c r="Q62" s="77"/>
      <c r="R62" s="77"/>
      <c r="S62" s="80"/>
      <c r="T62" s="80"/>
    </row>
    <row r="63" spans="1:20">
      <c r="A63" t="s">
        <v>1058</v>
      </c>
      <c r="B63" t="s">
        <v>1622</v>
      </c>
      <c r="C63">
        <v>3.1</v>
      </c>
      <c r="E63" s="69">
        <f t="shared" si="4"/>
        <v>322.58064516129031</v>
      </c>
      <c r="F63" s="70">
        <f t="shared" si="0"/>
        <v>9.9282463608810689E-4</v>
      </c>
      <c r="G63" s="70">
        <f t="shared" si="1"/>
        <v>9.4554727246486369E-5</v>
      </c>
      <c r="M63" s="70">
        <f t="shared" si="2"/>
        <v>1.3209295396334148E-11</v>
      </c>
      <c r="N63" s="206">
        <f t="shared" si="3"/>
        <v>53.217594163994647</v>
      </c>
      <c r="O63" s="136"/>
      <c r="P63" s="80"/>
      <c r="Q63" s="77"/>
      <c r="R63" s="77"/>
      <c r="S63" s="80"/>
      <c r="T63" s="80"/>
    </row>
    <row r="64" spans="1:20">
      <c r="A64" t="s">
        <v>1180</v>
      </c>
      <c r="B64" t="s">
        <v>1623</v>
      </c>
      <c r="C64">
        <v>178</v>
      </c>
      <c r="E64" s="69">
        <f t="shared" si="4"/>
        <v>5.6179775280898872</v>
      </c>
      <c r="F64" s="70">
        <f t="shared" si="0"/>
        <v>1.7290766134118717E-5</v>
      </c>
      <c r="G64" s="70">
        <f t="shared" si="1"/>
        <v>1.6467396318208301E-6</v>
      </c>
      <c r="M64" s="70">
        <f t="shared" si="2"/>
        <v>2.3004952656536998E-13</v>
      </c>
      <c r="N64" s="206">
        <f t="shared" si="3"/>
        <v>0.92682326914822144</v>
      </c>
      <c r="O64" s="136"/>
      <c r="P64" s="80"/>
      <c r="Q64" s="77"/>
      <c r="R64" s="77"/>
      <c r="S64" s="80"/>
      <c r="T64" s="80"/>
    </row>
    <row r="65" spans="1:20">
      <c r="A65" t="s">
        <v>1181</v>
      </c>
      <c r="B65" t="s">
        <v>1624</v>
      </c>
      <c r="C65">
        <v>135</v>
      </c>
      <c r="E65" s="69">
        <f t="shared" si="4"/>
        <v>7.4074074074074074</v>
      </c>
      <c r="F65" s="70">
        <f t="shared" si="0"/>
        <v>2.2798195347208381E-5</v>
      </c>
      <c r="G65" s="70">
        <f t="shared" si="1"/>
        <v>2.1712566997341315E-6</v>
      </c>
      <c r="M65" s="70">
        <f t="shared" si="2"/>
        <v>3.033245609528582E-13</v>
      </c>
      <c r="N65" s="206">
        <f t="shared" si="3"/>
        <v>1.222033643765803</v>
      </c>
      <c r="O65" s="136"/>
      <c r="P65" s="80"/>
      <c r="Q65" s="77"/>
      <c r="R65" s="77"/>
      <c r="S65" s="80"/>
      <c r="T65" s="80"/>
    </row>
    <row r="66" spans="1:20">
      <c r="A66" t="s">
        <v>1182</v>
      </c>
      <c r="B66" t="s">
        <v>1625</v>
      </c>
      <c r="C66">
        <v>1369</v>
      </c>
      <c r="E66" s="69">
        <f t="shared" si="4"/>
        <v>0.73046018991964934</v>
      </c>
      <c r="F66" s="70">
        <f t="shared" ref="F66:F129" si="5">18000/2360000000*35*E66/averagepesticidepotency</f>
        <v>2.2481785039248587E-6</v>
      </c>
      <c r="G66" s="70">
        <f t="shared" ref="G66:G129" si="6">3000000*0.02/2360000000*E66/averagepesticidepotency</f>
        <v>2.1411223846903417E-7</v>
      </c>
      <c r="M66" s="70">
        <f t="shared" ref="M66:M129" si="7">0.008382/2360000000*E66/averagepesticidepotency</f>
        <v>2.9911479714124072E-14</v>
      </c>
      <c r="N66" s="206">
        <f t="shared" ref="N66:N129" si="8">F66*YOLLvalue+G66*poisoningvalue+H66*As_orevalue+I66*Cu_orevalue+J66*Hg_orevalue+K66*Pb_orevalue+L66*Zn_orevalue+M66*speciesvalue</f>
        <v>0.1205073352143049</v>
      </c>
      <c r="O66" s="136"/>
      <c r="P66" s="80"/>
      <c r="Q66" s="77"/>
      <c r="R66" s="77"/>
      <c r="S66" s="80"/>
      <c r="T66" s="80"/>
    </row>
    <row r="67" spans="1:20">
      <c r="A67" t="s">
        <v>1183</v>
      </c>
      <c r="B67" t="s">
        <v>1626</v>
      </c>
      <c r="C67">
        <v>1000</v>
      </c>
      <c r="E67" s="69">
        <f t="shared" ref="E67:E130" si="9">1/C67*1000</f>
        <v>1</v>
      </c>
      <c r="F67" s="70">
        <f t="shared" si="5"/>
        <v>3.0777563718731315E-6</v>
      </c>
      <c r="G67" s="70">
        <f t="shared" si="6"/>
        <v>2.9311965446410776E-7</v>
      </c>
      <c r="I67">
        <f>63.546/(63.546+2*16+2)</f>
        <v>0.65144649703729529</v>
      </c>
      <c r="M67" s="70">
        <f t="shared" si="7"/>
        <v>4.0948815728635859E-14</v>
      </c>
      <c r="N67" s="206">
        <f t="shared" si="8"/>
        <v>59.412730554456317</v>
      </c>
      <c r="O67" s="136"/>
      <c r="P67" s="80"/>
      <c r="Q67" s="77"/>
      <c r="R67" s="77"/>
      <c r="S67" s="80"/>
      <c r="T67" s="80"/>
    </row>
    <row r="68" spans="1:20">
      <c r="A68" t="s">
        <v>1184</v>
      </c>
      <c r="B68" t="s">
        <v>1627</v>
      </c>
      <c r="C68">
        <v>1440</v>
      </c>
      <c r="E68" s="69">
        <f t="shared" si="9"/>
        <v>0.69444444444444442</v>
      </c>
      <c r="F68" s="70">
        <f t="shared" si="5"/>
        <v>2.1373308138007859E-6</v>
      </c>
      <c r="G68" s="70">
        <f t="shared" si="6"/>
        <v>2.0355531560007486E-7</v>
      </c>
      <c r="I68">
        <f>4*63.546/(4*63.546+6*17+35*2)</f>
        <v>0.59641844836971825</v>
      </c>
      <c r="M68" s="70">
        <f t="shared" si="7"/>
        <v>2.8436677589330456E-14</v>
      </c>
      <c r="N68" s="206">
        <f t="shared" si="8"/>
        <v>54.357630696432189</v>
      </c>
      <c r="O68" s="136"/>
      <c r="P68" s="80"/>
      <c r="Q68" s="77"/>
      <c r="R68" s="77"/>
      <c r="S68" s="80"/>
      <c r="T68" s="80"/>
    </row>
    <row r="69" spans="1:20">
      <c r="A69" t="s">
        <v>1185</v>
      </c>
      <c r="B69" t="s">
        <v>1628</v>
      </c>
      <c r="C69">
        <v>300</v>
      </c>
      <c r="E69" s="69">
        <f t="shared" si="9"/>
        <v>3.3333333333333335</v>
      </c>
      <c r="F69" s="70">
        <f t="shared" si="5"/>
        <v>1.0259187906243773E-5</v>
      </c>
      <c r="G69" s="70">
        <f t="shared" si="6"/>
        <v>9.7706551488035944E-7</v>
      </c>
      <c r="I69">
        <f>63.546/(63.546+32+4*16)</f>
        <v>0.39829265540972508</v>
      </c>
      <c r="M69" s="70">
        <f t="shared" si="7"/>
        <v>1.3649605242878619E-13</v>
      </c>
      <c r="N69" s="206">
        <f t="shared" si="8"/>
        <v>36.773835563898288</v>
      </c>
      <c r="O69" s="136"/>
      <c r="P69" s="80"/>
      <c r="Q69" s="77"/>
      <c r="R69" s="77"/>
      <c r="S69" s="80"/>
      <c r="T69" s="80"/>
    </row>
    <row r="70" spans="1:20">
      <c r="A70" t="s">
        <v>1094</v>
      </c>
      <c r="B70" t="s">
        <v>1629</v>
      </c>
      <c r="C70">
        <v>7.1</v>
      </c>
      <c r="E70" s="69">
        <f t="shared" si="9"/>
        <v>140.84507042253523</v>
      </c>
      <c r="F70" s="70">
        <f t="shared" si="5"/>
        <v>4.3348681293987781E-4</v>
      </c>
      <c r="G70" s="70">
        <f t="shared" si="6"/>
        <v>4.1284458375226454E-5</v>
      </c>
      <c r="M70" s="70">
        <f t="shared" si="7"/>
        <v>5.7674388350191359E-12</v>
      </c>
      <c r="N70" s="206">
        <f t="shared" si="8"/>
        <v>23.235850973011754</v>
      </c>
      <c r="O70" s="136"/>
      <c r="P70" s="80"/>
      <c r="Q70" s="77"/>
      <c r="R70" s="77"/>
      <c r="S70" s="80"/>
      <c r="T70" s="80"/>
    </row>
    <row r="71" spans="1:20">
      <c r="A71" t="s">
        <v>1095</v>
      </c>
      <c r="B71" t="s">
        <v>1630</v>
      </c>
      <c r="C71">
        <v>16</v>
      </c>
      <c r="E71" s="69">
        <f t="shared" si="9"/>
        <v>62.5</v>
      </c>
      <c r="F71" s="70">
        <f t="shared" si="5"/>
        <v>1.9235977324207073E-4</v>
      </c>
      <c r="G71" s="70">
        <f t="shared" si="6"/>
        <v>1.8319978404006734E-5</v>
      </c>
      <c r="M71" s="70">
        <f t="shared" si="7"/>
        <v>2.5593009830397411E-12</v>
      </c>
      <c r="N71" s="206">
        <f t="shared" si="8"/>
        <v>10.310908869273964</v>
      </c>
      <c r="O71" s="136"/>
      <c r="P71" s="80"/>
      <c r="Q71" s="77"/>
      <c r="R71" s="77"/>
      <c r="S71" s="80"/>
      <c r="T71" s="80"/>
    </row>
    <row r="72" spans="1:20">
      <c r="A72" s="45" t="s">
        <v>1187</v>
      </c>
      <c r="B72" t="s">
        <v>1631</v>
      </c>
      <c r="C72">
        <v>470</v>
      </c>
      <c r="E72" s="69">
        <f t="shared" si="9"/>
        <v>2.1276595744680851</v>
      </c>
      <c r="F72" s="70">
        <f t="shared" si="5"/>
        <v>6.5484178124960247E-6</v>
      </c>
      <c r="G72" s="70">
        <f t="shared" si="6"/>
        <v>6.2365883928533569E-7</v>
      </c>
      <c r="I72">
        <f>63.546*2/(63.546*2+16)</f>
        <v>0.88818382579040067</v>
      </c>
      <c r="M72" s="70">
        <f t="shared" si="7"/>
        <v>8.7125139848161386E-14</v>
      </c>
      <c r="N72" s="206">
        <f t="shared" si="8"/>
        <v>81.129552251620225</v>
      </c>
      <c r="O72" s="136"/>
      <c r="P72" s="80"/>
      <c r="Q72" s="77"/>
      <c r="R72" s="77"/>
      <c r="S72" s="80"/>
      <c r="T72" s="80"/>
    </row>
    <row r="73" spans="1:20">
      <c r="A73" t="s">
        <v>1188</v>
      </c>
      <c r="B73" t="s">
        <v>1632</v>
      </c>
      <c r="C73">
        <v>288</v>
      </c>
      <c r="E73" s="69">
        <f t="shared" si="9"/>
        <v>3.4722222222222219</v>
      </c>
      <c r="F73" s="70">
        <f t="shared" si="5"/>
        <v>1.0686654069003928E-5</v>
      </c>
      <c r="G73" s="70">
        <f t="shared" si="6"/>
        <v>1.0177765780003742E-6</v>
      </c>
      <c r="M73" s="70">
        <f t="shared" si="7"/>
        <v>1.4218338794665228E-13</v>
      </c>
      <c r="N73" s="206">
        <f t="shared" si="8"/>
        <v>0.57282827051522023</v>
      </c>
      <c r="O73" s="136"/>
      <c r="P73" s="80"/>
      <c r="Q73" s="77"/>
      <c r="R73" s="77"/>
      <c r="S73" s="80"/>
      <c r="T73" s="80"/>
    </row>
    <row r="74" spans="1:20">
      <c r="A74" t="s">
        <v>1189</v>
      </c>
      <c r="B74" t="s">
        <v>1633</v>
      </c>
      <c r="C74">
        <v>610</v>
      </c>
      <c r="E74" s="69">
        <f t="shared" si="9"/>
        <v>1.639344262295082</v>
      </c>
      <c r="F74" s="70">
        <f t="shared" si="5"/>
        <v>5.0455022489723471E-6</v>
      </c>
      <c r="G74" s="70">
        <f t="shared" si="6"/>
        <v>4.8052402371165209E-7</v>
      </c>
      <c r="M74" s="70">
        <f t="shared" si="7"/>
        <v>6.7129206112517797E-14</v>
      </c>
      <c r="N74" s="206">
        <f t="shared" si="8"/>
        <v>0.2704500687022679</v>
      </c>
      <c r="O74" s="136"/>
      <c r="P74" s="80"/>
      <c r="Q74" s="77"/>
      <c r="R74" s="77"/>
      <c r="S74" s="80"/>
      <c r="T74" s="80"/>
    </row>
    <row r="75" spans="1:20">
      <c r="A75" t="s">
        <v>1096</v>
      </c>
      <c r="B75" t="s">
        <v>1594</v>
      </c>
      <c r="C75">
        <v>15</v>
      </c>
      <c r="E75" s="69">
        <f t="shared" si="9"/>
        <v>66.666666666666671</v>
      </c>
      <c r="F75" s="70">
        <f t="shared" si="5"/>
        <v>2.0518375812487546E-4</v>
      </c>
      <c r="G75" s="70">
        <f t="shared" si="6"/>
        <v>1.9541310297607187E-5</v>
      </c>
      <c r="M75" s="70">
        <f t="shared" si="7"/>
        <v>2.7299210485757238E-12</v>
      </c>
      <c r="N75" s="206">
        <f t="shared" si="8"/>
        <v>10.998302793892229</v>
      </c>
      <c r="O75" s="136"/>
      <c r="P75" s="80"/>
      <c r="Q75" s="77"/>
      <c r="R75" s="77"/>
      <c r="S75" s="80"/>
      <c r="T75" s="80"/>
    </row>
    <row r="76" spans="1:20">
      <c r="A76" t="s">
        <v>1190</v>
      </c>
      <c r="B76" t="s">
        <v>1634</v>
      </c>
      <c r="C76">
        <v>144</v>
      </c>
      <c r="E76" s="69">
        <f t="shared" si="9"/>
        <v>6.9444444444444438</v>
      </c>
      <c r="F76" s="70">
        <f t="shared" si="5"/>
        <v>2.1373308138007857E-5</v>
      </c>
      <c r="G76" s="70">
        <f t="shared" si="6"/>
        <v>2.0355531560007483E-6</v>
      </c>
      <c r="M76" s="70">
        <f t="shared" si="7"/>
        <v>2.8436677589330456E-13</v>
      </c>
      <c r="N76" s="206">
        <f t="shared" si="8"/>
        <v>1.1456565410304405</v>
      </c>
      <c r="O76" s="136"/>
      <c r="P76" s="80"/>
      <c r="Q76" s="77"/>
      <c r="R76" s="77"/>
      <c r="S76" s="80"/>
      <c r="T76" s="80"/>
    </row>
    <row r="77" spans="1:20">
      <c r="A77" t="s">
        <v>1191</v>
      </c>
      <c r="B77" t="s">
        <v>1635</v>
      </c>
      <c r="C77">
        <v>265</v>
      </c>
      <c r="E77" s="69">
        <f t="shared" si="9"/>
        <v>3.7735849056603774</v>
      </c>
      <c r="F77" s="70">
        <f t="shared" si="5"/>
        <v>1.1614174988200497E-5</v>
      </c>
      <c r="G77" s="70">
        <f t="shared" si="6"/>
        <v>1.1061119036381427E-6</v>
      </c>
      <c r="M77" s="70">
        <f t="shared" si="7"/>
        <v>1.5452383293824852E-13</v>
      </c>
      <c r="N77" s="206">
        <f t="shared" si="8"/>
        <v>0.62254544116371102</v>
      </c>
      <c r="O77" s="136"/>
      <c r="P77" s="80"/>
      <c r="Q77" s="77"/>
      <c r="R77" s="77"/>
      <c r="S77" s="80"/>
      <c r="T77" s="80"/>
    </row>
    <row r="78" spans="1:20">
      <c r="A78" t="s">
        <v>1192</v>
      </c>
      <c r="B78" t="s">
        <v>1636</v>
      </c>
      <c r="C78">
        <v>1196</v>
      </c>
      <c r="E78" s="69">
        <f t="shared" si="9"/>
        <v>0.83612040133779264</v>
      </c>
      <c r="F78" s="70">
        <f t="shared" si="5"/>
        <v>2.5733748928705116E-6</v>
      </c>
      <c r="G78" s="70">
        <f t="shared" si="6"/>
        <v>2.4508332313052487E-7</v>
      </c>
      <c r="M78" s="70">
        <f t="shared" si="7"/>
        <v>3.4238140241334331E-14</v>
      </c>
      <c r="N78" s="206">
        <f t="shared" si="8"/>
        <v>0.13793858019095603</v>
      </c>
      <c r="O78" s="136"/>
      <c r="P78" s="80"/>
      <c r="Q78" s="77"/>
      <c r="R78" s="77"/>
      <c r="S78" s="80"/>
      <c r="T78" s="80"/>
    </row>
    <row r="79" spans="1:20">
      <c r="A79" t="s">
        <v>1193</v>
      </c>
      <c r="B79" t="s">
        <v>1637</v>
      </c>
      <c r="C79">
        <v>250</v>
      </c>
      <c r="E79" s="69">
        <f t="shared" si="9"/>
        <v>4</v>
      </c>
      <c r="F79" s="70">
        <f t="shared" si="5"/>
        <v>1.2311025487492526E-5</v>
      </c>
      <c r="G79" s="70">
        <f t="shared" si="6"/>
        <v>1.172478617856431E-6</v>
      </c>
      <c r="M79" s="70">
        <f t="shared" si="7"/>
        <v>1.6379526291454344E-13</v>
      </c>
      <c r="N79" s="206">
        <f t="shared" si="8"/>
        <v>0.65989816763353371</v>
      </c>
      <c r="O79" s="136"/>
      <c r="P79" s="80"/>
      <c r="Q79" s="77"/>
      <c r="R79" s="77"/>
      <c r="S79" s="80"/>
      <c r="T79" s="80"/>
    </row>
    <row r="80" spans="1:20">
      <c r="A80" t="s">
        <v>1195</v>
      </c>
      <c r="B80" t="s">
        <v>1638</v>
      </c>
      <c r="C80">
        <v>318</v>
      </c>
      <c r="E80" s="69">
        <f t="shared" si="9"/>
        <v>3.1446540880503147</v>
      </c>
      <c r="F80" s="70">
        <f t="shared" si="5"/>
        <v>9.6784791568337472E-6</v>
      </c>
      <c r="G80" s="70">
        <f t="shared" si="6"/>
        <v>9.2175991969845224E-7</v>
      </c>
      <c r="M80" s="70">
        <f t="shared" si="7"/>
        <v>1.2876986078187376E-13</v>
      </c>
      <c r="N80" s="206">
        <f t="shared" si="8"/>
        <v>0.51878786763642581</v>
      </c>
      <c r="O80" s="136"/>
      <c r="P80" s="80"/>
      <c r="Q80" s="77"/>
      <c r="R80" s="77"/>
      <c r="S80" s="80"/>
      <c r="T80" s="80"/>
    </row>
    <row r="81" spans="1:20">
      <c r="A81" t="s">
        <v>1196</v>
      </c>
      <c r="B81" t="s">
        <v>1639</v>
      </c>
      <c r="C81">
        <v>1020</v>
      </c>
      <c r="E81" s="69">
        <f t="shared" si="9"/>
        <v>0.98039215686274506</v>
      </c>
      <c r="F81" s="70">
        <f t="shared" si="5"/>
        <v>3.0174082077187565E-6</v>
      </c>
      <c r="G81" s="70">
        <f t="shared" si="6"/>
        <v>2.8737221025892917E-7</v>
      </c>
      <c r="M81" s="70">
        <f t="shared" si="7"/>
        <v>4.014589777317241E-14</v>
      </c>
      <c r="N81" s="206">
        <f t="shared" si="8"/>
        <v>0.16173974696900337</v>
      </c>
      <c r="O81" s="136"/>
      <c r="P81" s="80"/>
      <c r="Q81" s="77"/>
      <c r="R81" s="77"/>
      <c r="S81" s="80"/>
      <c r="T81" s="80"/>
    </row>
    <row r="82" spans="1:20">
      <c r="A82" t="s">
        <v>1199</v>
      </c>
      <c r="B82" t="s">
        <v>1640</v>
      </c>
      <c r="C82">
        <v>640</v>
      </c>
      <c r="E82" s="69">
        <f t="shared" si="9"/>
        <v>1.5625</v>
      </c>
      <c r="F82" s="70">
        <f t="shared" si="5"/>
        <v>4.808994331051768E-6</v>
      </c>
      <c r="G82" s="70">
        <f t="shared" si="6"/>
        <v>4.5799946010016837E-7</v>
      </c>
      <c r="M82" s="70">
        <f t="shared" si="7"/>
        <v>6.3982524575993526E-14</v>
      </c>
      <c r="N82" s="206">
        <f t="shared" si="8"/>
        <v>0.25777272173184912</v>
      </c>
      <c r="O82" s="136"/>
      <c r="P82" s="80"/>
      <c r="Q82" s="77"/>
      <c r="R82" s="77"/>
      <c r="S82" s="80"/>
      <c r="T82" s="80"/>
    </row>
    <row r="83" spans="1:20">
      <c r="A83" t="s">
        <v>1201</v>
      </c>
      <c r="B83" t="s">
        <v>1641</v>
      </c>
      <c r="C83">
        <v>113</v>
      </c>
      <c r="D83" t="s">
        <v>1050</v>
      </c>
      <c r="E83" s="69">
        <f t="shared" si="9"/>
        <v>8.8495575221238933</v>
      </c>
      <c r="F83" s="70">
        <f t="shared" si="5"/>
        <v>2.7236782051974616E-5</v>
      </c>
      <c r="G83" s="70">
        <f t="shared" si="6"/>
        <v>2.5939792430452013E-6</v>
      </c>
      <c r="M83" s="70">
        <f t="shared" si="7"/>
        <v>3.6237890025341467E-13</v>
      </c>
      <c r="N83" s="206">
        <f t="shared" si="8"/>
        <v>1.4599516983042782</v>
      </c>
      <c r="O83" s="136"/>
      <c r="P83" s="80"/>
      <c r="Q83" s="77"/>
      <c r="R83" s="77"/>
      <c r="S83" s="80"/>
      <c r="T83" s="80"/>
    </row>
    <row r="84" spans="1:20">
      <c r="A84" t="s">
        <v>1202</v>
      </c>
      <c r="B84" t="s">
        <v>1642</v>
      </c>
      <c r="C84">
        <v>135</v>
      </c>
      <c r="D84" t="s">
        <v>1050</v>
      </c>
      <c r="E84" s="69">
        <f t="shared" si="9"/>
        <v>7.4074074074074074</v>
      </c>
      <c r="F84" s="70">
        <f t="shared" si="5"/>
        <v>2.2798195347208381E-5</v>
      </c>
      <c r="G84" s="70">
        <f t="shared" si="6"/>
        <v>2.1712566997341315E-6</v>
      </c>
      <c r="M84" s="70">
        <f t="shared" si="7"/>
        <v>3.033245609528582E-13</v>
      </c>
      <c r="N84" s="206">
        <f t="shared" si="8"/>
        <v>1.222033643765803</v>
      </c>
      <c r="O84" s="136"/>
      <c r="P84" s="80"/>
      <c r="Q84" s="77"/>
      <c r="R84" s="77"/>
      <c r="S84" s="80"/>
      <c r="T84" s="80"/>
    </row>
    <row r="85" spans="1:20">
      <c r="A85" t="s">
        <v>1099</v>
      </c>
      <c r="B85" t="s">
        <v>1643</v>
      </c>
      <c r="C85">
        <v>40</v>
      </c>
      <c r="E85" s="69">
        <f t="shared" si="9"/>
        <v>25</v>
      </c>
      <c r="F85" s="70">
        <f t="shared" si="5"/>
        <v>7.6943909296828288E-5</v>
      </c>
      <c r="G85" s="70">
        <f t="shared" si="6"/>
        <v>7.3279913616026939E-6</v>
      </c>
      <c r="M85" s="70">
        <f t="shared" si="7"/>
        <v>1.0237203932158964E-12</v>
      </c>
      <c r="N85" s="206">
        <f t="shared" si="8"/>
        <v>4.1243635477095859</v>
      </c>
      <c r="O85" s="136"/>
      <c r="P85" s="80"/>
      <c r="Q85" s="77"/>
      <c r="R85" s="77"/>
      <c r="S85" s="80"/>
      <c r="T85" s="80"/>
    </row>
    <row r="86" spans="1:20">
      <c r="A86" t="s">
        <v>1203</v>
      </c>
      <c r="B86" t="s">
        <v>1644</v>
      </c>
      <c r="C86">
        <v>300</v>
      </c>
      <c r="E86" s="69">
        <f t="shared" si="9"/>
        <v>3.3333333333333335</v>
      </c>
      <c r="F86" s="70">
        <f t="shared" si="5"/>
        <v>1.0259187906243773E-5</v>
      </c>
      <c r="G86" s="70">
        <f t="shared" si="6"/>
        <v>9.7706551488035944E-7</v>
      </c>
      <c r="M86" s="70">
        <f t="shared" si="7"/>
        <v>1.3649605242878619E-13</v>
      </c>
      <c r="N86" s="206">
        <f t="shared" si="8"/>
        <v>0.54991513969461148</v>
      </c>
      <c r="O86" s="136"/>
      <c r="P86" s="80"/>
      <c r="Q86" s="77"/>
      <c r="R86" s="77"/>
      <c r="S86" s="80"/>
      <c r="T86" s="80"/>
    </row>
    <row r="87" spans="1:20">
      <c r="A87" t="s">
        <v>1204</v>
      </c>
      <c r="B87" t="s">
        <v>1645</v>
      </c>
      <c r="C87">
        <v>1707</v>
      </c>
      <c r="E87" s="69">
        <f t="shared" si="9"/>
        <v>0.58582308142940831</v>
      </c>
      <c r="F87" s="70">
        <f t="shared" si="5"/>
        <v>1.803020721659714E-6</v>
      </c>
      <c r="G87" s="70">
        <f t="shared" si="6"/>
        <v>1.7171625920568704E-7</v>
      </c>
      <c r="M87" s="70">
        <f t="shared" si="7"/>
        <v>2.3988761411034479E-14</v>
      </c>
      <c r="N87" s="206">
        <f t="shared" si="8"/>
        <v>9.6645894498174234E-2</v>
      </c>
      <c r="O87" s="136"/>
      <c r="P87" s="80"/>
      <c r="Q87" s="77"/>
      <c r="R87" s="77"/>
      <c r="S87" s="80"/>
      <c r="T87" s="80"/>
    </row>
    <row r="88" spans="1:20">
      <c r="A88" s="133" t="s">
        <v>1205</v>
      </c>
      <c r="B88" t="s">
        <v>1646</v>
      </c>
      <c r="C88">
        <v>2750</v>
      </c>
      <c r="E88" s="69">
        <f t="shared" si="9"/>
        <v>0.36363636363636359</v>
      </c>
      <c r="F88" s="70">
        <f t="shared" si="5"/>
        <v>1.1191841352265931E-6</v>
      </c>
      <c r="G88" s="70">
        <f t="shared" si="6"/>
        <v>1.0658896525967553E-7</v>
      </c>
      <c r="M88" s="70">
        <f t="shared" si="7"/>
        <v>1.4890478446776674E-14</v>
      </c>
      <c r="N88" s="206">
        <f t="shared" si="8"/>
        <v>5.9990742512139414E-2</v>
      </c>
      <c r="O88" s="136"/>
      <c r="P88" s="80"/>
      <c r="Q88" s="77"/>
      <c r="R88" s="77"/>
      <c r="S88" s="80"/>
      <c r="T88" s="80"/>
    </row>
    <row r="89" spans="1:20">
      <c r="A89" t="s">
        <v>1206</v>
      </c>
      <c r="B89" t="s">
        <v>1647</v>
      </c>
      <c r="C89">
        <v>1250</v>
      </c>
      <c r="E89" s="69">
        <f t="shared" si="9"/>
        <v>0.8</v>
      </c>
      <c r="F89" s="70">
        <f t="shared" si="5"/>
        <v>2.4622050974985056E-6</v>
      </c>
      <c r="G89" s="70">
        <f t="shared" si="6"/>
        <v>2.3449572357128623E-7</v>
      </c>
      <c r="M89" s="70">
        <f t="shared" si="7"/>
        <v>3.2759052582908689E-14</v>
      </c>
      <c r="N89" s="206">
        <f t="shared" si="8"/>
        <v>0.13197963352670675</v>
      </c>
      <c r="O89" s="136"/>
      <c r="P89" s="80"/>
      <c r="Q89" s="77"/>
      <c r="R89" s="77"/>
      <c r="S89" s="80"/>
      <c r="T89" s="80"/>
    </row>
    <row r="90" spans="1:20">
      <c r="A90" t="s">
        <v>1207</v>
      </c>
      <c r="B90" t="s">
        <v>1648</v>
      </c>
      <c r="C90">
        <v>800</v>
      </c>
      <c r="E90" s="69">
        <f t="shared" si="9"/>
        <v>1.25</v>
      </c>
      <c r="F90" s="70">
        <f t="shared" si="5"/>
        <v>3.8471954648414144E-6</v>
      </c>
      <c r="G90" s="70">
        <f t="shared" si="6"/>
        <v>3.6639956808013474E-7</v>
      </c>
      <c r="M90" s="70">
        <f t="shared" si="7"/>
        <v>5.1186019660794826E-14</v>
      </c>
      <c r="N90" s="206">
        <f t="shared" si="8"/>
        <v>0.20621817738547926</v>
      </c>
      <c r="O90" s="136"/>
      <c r="P90" s="80"/>
      <c r="Q90" s="77"/>
      <c r="R90" s="77"/>
      <c r="S90" s="80"/>
      <c r="T90" s="80"/>
    </row>
    <row r="91" spans="1:20">
      <c r="A91" t="s">
        <v>1100</v>
      </c>
      <c r="B91" t="s">
        <v>1649</v>
      </c>
      <c r="C91">
        <v>56</v>
      </c>
      <c r="D91" t="s">
        <v>1101</v>
      </c>
      <c r="E91" s="69">
        <f t="shared" si="9"/>
        <v>17.857142857142858</v>
      </c>
      <c r="F91" s="70">
        <f t="shared" si="5"/>
        <v>5.4959935212020212E-5</v>
      </c>
      <c r="G91" s="70">
        <f t="shared" si="6"/>
        <v>5.2342795440019248E-6</v>
      </c>
      <c r="M91" s="70">
        <f t="shared" si="7"/>
        <v>7.31228852297069E-13</v>
      </c>
      <c r="N91" s="206">
        <f t="shared" si="8"/>
        <v>2.9459739626497043</v>
      </c>
      <c r="O91" s="136"/>
      <c r="P91" s="80"/>
      <c r="Q91" s="77"/>
      <c r="R91" s="77"/>
      <c r="S91" s="80"/>
      <c r="T91" s="80"/>
    </row>
    <row r="92" spans="1:20">
      <c r="A92" t="s">
        <v>1208</v>
      </c>
      <c r="B92" t="s">
        <v>1650</v>
      </c>
      <c r="C92">
        <v>565</v>
      </c>
      <c r="E92" s="69">
        <f t="shared" si="9"/>
        <v>1.7699115044247788</v>
      </c>
      <c r="F92" s="70">
        <f t="shared" si="5"/>
        <v>5.4473564103949238E-6</v>
      </c>
      <c r="G92" s="70">
        <f t="shared" si="6"/>
        <v>5.1879584860904039E-7</v>
      </c>
      <c r="M92" s="70">
        <f t="shared" si="7"/>
        <v>7.2475780050682937E-14</v>
      </c>
      <c r="N92" s="206">
        <f t="shared" si="8"/>
        <v>0.29199033966085564</v>
      </c>
      <c r="O92" s="136"/>
      <c r="P92" s="80"/>
      <c r="Q92" s="77"/>
      <c r="R92" s="77"/>
      <c r="S92" s="80"/>
      <c r="T92" s="80"/>
    </row>
    <row r="93" spans="1:20">
      <c r="A93" t="s">
        <v>1209</v>
      </c>
      <c r="B93" t="s">
        <v>1651</v>
      </c>
      <c r="C93">
        <v>690</v>
      </c>
      <c r="E93" s="69">
        <f t="shared" si="9"/>
        <v>1.4492753623188406</v>
      </c>
      <c r="F93" s="70">
        <f t="shared" si="5"/>
        <v>4.4605164809755536E-6</v>
      </c>
      <c r="G93" s="70">
        <f t="shared" si="6"/>
        <v>4.2481109342624318E-7</v>
      </c>
      <c r="M93" s="70">
        <f t="shared" si="7"/>
        <v>5.9346109751646166E-14</v>
      </c>
      <c r="N93" s="206">
        <f t="shared" si="8"/>
        <v>0.23909353899765717</v>
      </c>
      <c r="O93" s="136"/>
      <c r="P93" s="80"/>
      <c r="Q93" s="77"/>
      <c r="R93" s="77"/>
      <c r="S93" s="80"/>
      <c r="T93" s="80"/>
    </row>
    <row r="94" spans="1:20">
      <c r="A94" t="s">
        <v>1102</v>
      </c>
      <c r="B94" t="s">
        <v>1652</v>
      </c>
      <c r="C94">
        <v>22</v>
      </c>
      <c r="E94" s="69">
        <f t="shared" si="9"/>
        <v>45.454545454545453</v>
      </c>
      <c r="F94" s="70">
        <f t="shared" si="5"/>
        <v>1.3989801690332415E-4</v>
      </c>
      <c r="G94" s="70">
        <f t="shared" si="6"/>
        <v>1.3323620657459444E-5</v>
      </c>
      <c r="M94" s="70">
        <f t="shared" si="7"/>
        <v>1.8613098058470846E-12</v>
      </c>
      <c r="N94" s="206">
        <f t="shared" si="8"/>
        <v>7.4988428140174275</v>
      </c>
      <c r="O94" s="136"/>
      <c r="P94" s="80"/>
      <c r="Q94" s="77"/>
      <c r="R94" s="77"/>
      <c r="S94" s="80"/>
      <c r="T94" s="80"/>
    </row>
    <row r="95" spans="1:20">
      <c r="A95" t="s">
        <v>1059</v>
      </c>
      <c r="B95" t="s">
        <v>1653</v>
      </c>
      <c r="C95">
        <v>1.8</v>
      </c>
      <c r="E95" s="69">
        <f t="shared" si="9"/>
        <v>555.55555555555554</v>
      </c>
      <c r="F95" s="70">
        <f t="shared" si="5"/>
        <v>1.7098646510406287E-3</v>
      </c>
      <c r="G95" s="70">
        <f t="shared" si="6"/>
        <v>1.6284425248005988E-4</v>
      </c>
      <c r="M95" s="70">
        <f t="shared" si="7"/>
        <v>2.2749342071464363E-11</v>
      </c>
      <c r="N95" s="206">
        <f t="shared" si="8"/>
        <v>91.652523282435226</v>
      </c>
      <c r="O95" s="136"/>
      <c r="P95" s="80"/>
      <c r="Q95" s="77"/>
      <c r="R95" s="77"/>
      <c r="S95" s="80"/>
      <c r="T95" s="80"/>
    </row>
    <row r="96" spans="1:20">
      <c r="A96" t="s">
        <v>1210</v>
      </c>
      <c r="B96" t="s">
        <v>1211</v>
      </c>
      <c r="C96">
        <v>1453</v>
      </c>
      <c r="E96" s="69">
        <f t="shared" si="9"/>
        <v>0.68823124569855465</v>
      </c>
      <c r="F96" s="70">
        <f t="shared" si="5"/>
        <v>2.1182081017709092E-6</v>
      </c>
      <c r="G96" s="70">
        <f t="shared" si="6"/>
        <v>2.0173410493056282E-7</v>
      </c>
      <c r="M96" s="70">
        <f t="shared" si="7"/>
        <v>2.8182254458799626E-14</v>
      </c>
      <c r="N96" s="206">
        <f t="shared" si="8"/>
        <v>0.11354063448615513</v>
      </c>
      <c r="O96" s="136"/>
      <c r="P96" s="80"/>
      <c r="Q96" s="77"/>
      <c r="R96" s="77"/>
      <c r="S96" s="80"/>
      <c r="T96" s="80"/>
    </row>
    <row r="97" spans="1:20">
      <c r="A97" t="s">
        <v>1212</v>
      </c>
      <c r="B97" t="s">
        <v>1654</v>
      </c>
      <c r="C97">
        <v>470</v>
      </c>
      <c r="E97" s="69">
        <f t="shared" si="9"/>
        <v>2.1276595744680851</v>
      </c>
      <c r="F97" s="70">
        <f t="shared" si="5"/>
        <v>6.5484178124960247E-6</v>
      </c>
      <c r="G97" s="70">
        <f t="shared" si="6"/>
        <v>6.2365883928533569E-7</v>
      </c>
      <c r="M97" s="70">
        <f t="shared" si="7"/>
        <v>8.7125139848161386E-14</v>
      </c>
      <c r="N97" s="206">
        <f t="shared" si="8"/>
        <v>0.3510096636348583</v>
      </c>
      <c r="O97" s="136"/>
      <c r="P97" s="80"/>
      <c r="Q97" s="77"/>
      <c r="R97" s="77"/>
      <c r="S97" s="80"/>
      <c r="T97" s="80"/>
    </row>
    <row r="98" spans="1:20">
      <c r="A98" t="s">
        <v>1060</v>
      </c>
      <c r="B98" t="s">
        <v>1655</v>
      </c>
      <c r="C98">
        <v>0.56000000000000005</v>
      </c>
      <c r="E98" s="69">
        <f t="shared" si="9"/>
        <v>1785.7142857142856</v>
      </c>
      <c r="F98" s="70">
        <f t="shared" si="5"/>
        <v>5.4959935212020201E-3</v>
      </c>
      <c r="G98" s="70">
        <f t="shared" si="6"/>
        <v>5.2342795440019237E-4</v>
      </c>
      <c r="M98" s="70">
        <f t="shared" si="7"/>
        <v>7.3122885229706886E-11</v>
      </c>
      <c r="N98" s="206">
        <f t="shared" si="8"/>
        <v>294.59739626497037</v>
      </c>
      <c r="O98" s="136"/>
      <c r="P98" s="80"/>
      <c r="Q98" s="77"/>
      <c r="R98" s="77"/>
      <c r="S98" s="80"/>
      <c r="T98" s="80"/>
    </row>
    <row r="99" spans="1:20">
      <c r="A99" t="s">
        <v>1213</v>
      </c>
      <c r="B99" t="s">
        <v>1656</v>
      </c>
      <c r="C99">
        <v>946</v>
      </c>
      <c r="E99" s="69">
        <f t="shared" si="9"/>
        <v>1.0570824524312896</v>
      </c>
      <c r="F99" s="70">
        <f t="shared" si="5"/>
        <v>3.2534422535656786E-6</v>
      </c>
      <c r="G99" s="70">
        <f t="shared" si="6"/>
        <v>3.0985164319673125E-7</v>
      </c>
      <c r="M99" s="70">
        <f t="shared" si="7"/>
        <v>4.3286274554583359E-14</v>
      </c>
      <c r="N99" s="206">
        <f t="shared" si="8"/>
        <v>0.17439169334924254</v>
      </c>
      <c r="O99" s="136"/>
      <c r="P99" s="80"/>
      <c r="Q99" s="77"/>
      <c r="R99" s="77"/>
      <c r="S99" s="80"/>
      <c r="T99" s="80"/>
    </row>
    <row r="100" spans="1:20">
      <c r="A100" t="s">
        <v>1214</v>
      </c>
      <c r="B100" t="s">
        <v>1657</v>
      </c>
      <c r="C100">
        <v>1600</v>
      </c>
      <c r="E100" s="69">
        <f t="shared" si="9"/>
        <v>0.625</v>
      </c>
      <c r="F100" s="70">
        <f t="shared" si="5"/>
        <v>1.9235977324207072E-6</v>
      </c>
      <c r="G100" s="70">
        <f t="shared" si="6"/>
        <v>1.8319978404006737E-7</v>
      </c>
      <c r="M100" s="70">
        <f t="shared" si="7"/>
        <v>2.5593009830397413E-14</v>
      </c>
      <c r="N100" s="206">
        <f t="shared" si="8"/>
        <v>0.10310908869273963</v>
      </c>
      <c r="O100" s="136"/>
      <c r="P100" s="80"/>
      <c r="Q100" s="77"/>
      <c r="R100" s="77"/>
      <c r="S100" s="80"/>
      <c r="T100" s="80"/>
    </row>
    <row r="101" spans="1:20">
      <c r="A101" t="s">
        <v>1216</v>
      </c>
      <c r="B101" t="s">
        <v>1658</v>
      </c>
      <c r="C101">
        <v>371</v>
      </c>
      <c r="E101" s="69">
        <f t="shared" si="9"/>
        <v>2.6954177897574128</v>
      </c>
      <c r="F101" s="70">
        <f t="shared" si="5"/>
        <v>8.2958392772860705E-6</v>
      </c>
      <c r="G101" s="70">
        <f t="shared" si="6"/>
        <v>7.900799311701019E-7</v>
      </c>
      <c r="M101" s="70">
        <f t="shared" si="7"/>
        <v>1.1037416638446325E-13</v>
      </c>
      <c r="N101" s="206">
        <f t="shared" si="8"/>
        <v>0.44467531511693648</v>
      </c>
      <c r="O101" s="136"/>
      <c r="P101" s="80"/>
      <c r="Q101" s="77"/>
      <c r="R101" s="77"/>
      <c r="S101" s="80"/>
      <c r="T101" s="80"/>
    </row>
    <row r="102" spans="1:20">
      <c r="A102" t="s">
        <v>1215</v>
      </c>
      <c r="B102" t="s">
        <v>1659</v>
      </c>
      <c r="C102">
        <v>1180</v>
      </c>
      <c r="E102" s="69">
        <f t="shared" si="9"/>
        <v>0.84745762711864403</v>
      </c>
      <c r="F102" s="70">
        <f t="shared" si="5"/>
        <v>2.608268111756891E-6</v>
      </c>
      <c r="G102" s="70">
        <f t="shared" si="6"/>
        <v>2.4840648683398964E-7</v>
      </c>
      <c r="M102" s="70">
        <f t="shared" si="7"/>
        <v>3.4702386210708351E-14</v>
      </c>
      <c r="N102" s="206">
        <f t="shared" si="8"/>
        <v>0.13980893382066392</v>
      </c>
      <c r="O102" s="136"/>
      <c r="P102" s="80"/>
      <c r="Q102" s="77"/>
      <c r="R102" s="77"/>
      <c r="S102" s="80"/>
      <c r="T102" s="80"/>
    </row>
    <row r="103" spans="1:20">
      <c r="A103" t="s">
        <v>1218</v>
      </c>
      <c r="B103" t="s">
        <v>1660</v>
      </c>
      <c r="C103">
        <v>150</v>
      </c>
      <c r="E103" s="69">
        <f t="shared" si="9"/>
        <v>6.666666666666667</v>
      </c>
      <c r="F103" s="70">
        <f t="shared" si="5"/>
        <v>2.0518375812487547E-5</v>
      </c>
      <c r="G103" s="70">
        <f t="shared" si="6"/>
        <v>1.9541310297607189E-6</v>
      </c>
      <c r="M103" s="70">
        <f t="shared" si="7"/>
        <v>2.7299210485757239E-13</v>
      </c>
      <c r="N103" s="206">
        <f t="shared" si="8"/>
        <v>1.099830279389223</v>
      </c>
      <c r="O103" s="136"/>
      <c r="P103" s="80"/>
      <c r="Q103" s="77"/>
      <c r="R103" s="77"/>
      <c r="S103" s="80"/>
      <c r="T103" s="80"/>
    </row>
    <row r="104" spans="1:20">
      <c r="A104" t="s">
        <v>1217</v>
      </c>
      <c r="B104" t="s">
        <v>1661</v>
      </c>
      <c r="C104">
        <v>1350</v>
      </c>
      <c r="E104" s="69">
        <f t="shared" si="9"/>
        <v>0.7407407407407407</v>
      </c>
      <c r="F104" s="70">
        <f t="shared" si="5"/>
        <v>2.2798195347208383E-6</v>
      </c>
      <c r="G104" s="70">
        <f t="shared" si="6"/>
        <v>2.1712566997341317E-7</v>
      </c>
      <c r="M104" s="70">
        <f t="shared" si="7"/>
        <v>3.0332456095285822E-14</v>
      </c>
      <c r="N104" s="206">
        <f t="shared" si="8"/>
        <v>0.12220336437658032</v>
      </c>
      <c r="O104" s="136"/>
      <c r="P104" s="80"/>
      <c r="Q104" s="77"/>
      <c r="R104" s="77"/>
      <c r="S104" s="80"/>
      <c r="T104" s="80"/>
    </row>
    <row r="105" spans="1:20">
      <c r="A105" t="s">
        <v>1219</v>
      </c>
      <c r="B105" t="s">
        <v>1662</v>
      </c>
      <c r="C105">
        <v>639</v>
      </c>
      <c r="E105" s="69">
        <f t="shared" si="9"/>
        <v>1.5649452269170578</v>
      </c>
      <c r="F105" s="70">
        <f t="shared" si="5"/>
        <v>4.8165201437764186E-6</v>
      </c>
      <c r="G105" s="70">
        <f t="shared" si="6"/>
        <v>4.5871620416918278E-7</v>
      </c>
      <c r="M105" s="70">
        <f t="shared" si="7"/>
        <v>6.4082653722434827E-14</v>
      </c>
      <c r="N105" s="206">
        <f t="shared" si="8"/>
        <v>0.25817612192235273</v>
      </c>
      <c r="O105" s="136"/>
      <c r="P105" s="80"/>
      <c r="Q105" s="77"/>
      <c r="R105" s="77"/>
      <c r="S105" s="80"/>
      <c r="T105" s="80"/>
    </row>
    <row r="106" spans="1:20">
      <c r="A106" t="s">
        <v>1220</v>
      </c>
      <c r="B106" t="s">
        <v>1663</v>
      </c>
      <c r="C106">
        <v>140</v>
      </c>
      <c r="E106" s="69">
        <f t="shared" si="9"/>
        <v>7.1428571428571423</v>
      </c>
      <c r="F106" s="70">
        <f t="shared" si="5"/>
        <v>2.1983974084808083E-5</v>
      </c>
      <c r="G106" s="70">
        <f t="shared" si="6"/>
        <v>2.0937118176007699E-6</v>
      </c>
      <c r="M106" s="70">
        <f t="shared" si="7"/>
        <v>2.9249154091882757E-13</v>
      </c>
      <c r="N106" s="206">
        <f t="shared" si="8"/>
        <v>1.1783895850598816</v>
      </c>
      <c r="O106" s="136"/>
      <c r="P106" s="80"/>
      <c r="Q106" s="77"/>
      <c r="R106" s="77"/>
      <c r="S106" s="80"/>
      <c r="T106" s="80"/>
    </row>
    <row r="107" spans="1:20">
      <c r="A107" t="s">
        <v>1221</v>
      </c>
      <c r="B107" t="s">
        <v>1664</v>
      </c>
      <c r="C107">
        <v>980</v>
      </c>
      <c r="E107" s="69">
        <f t="shared" si="9"/>
        <v>1.0204081632653061</v>
      </c>
      <c r="F107" s="70">
        <f t="shared" si="5"/>
        <v>3.1405677264011545E-6</v>
      </c>
      <c r="G107" s="70">
        <f t="shared" si="6"/>
        <v>2.9910168822868143E-7</v>
      </c>
      <c r="M107" s="70">
        <f t="shared" si="7"/>
        <v>4.1784505845546793E-14</v>
      </c>
      <c r="N107" s="206">
        <f t="shared" si="8"/>
        <v>0.16834136929426877</v>
      </c>
      <c r="O107" s="136"/>
      <c r="P107" s="80"/>
      <c r="Q107" s="77"/>
      <c r="R107" s="77"/>
      <c r="S107" s="80"/>
      <c r="T107" s="80"/>
    </row>
    <row r="108" spans="1:20">
      <c r="A108" t="s">
        <v>1103</v>
      </c>
      <c r="B108" t="s">
        <v>1665</v>
      </c>
      <c r="C108">
        <v>25</v>
      </c>
      <c r="E108" s="69">
        <f t="shared" si="9"/>
        <v>40</v>
      </c>
      <c r="F108" s="70">
        <f t="shared" si="5"/>
        <v>1.2311025487492526E-4</v>
      </c>
      <c r="G108" s="70">
        <f t="shared" si="6"/>
        <v>1.1724786178564312E-5</v>
      </c>
      <c r="M108" s="70">
        <f t="shared" si="7"/>
        <v>1.6379526291454344E-12</v>
      </c>
      <c r="N108" s="206">
        <f t="shared" si="8"/>
        <v>6.5989816763353364</v>
      </c>
      <c r="O108" s="136"/>
      <c r="P108" s="80"/>
      <c r="Q108" s="77"/>
      <c r="R108" s="77"/>
      <c r="S108" s="80"/>
      <c r="T108" s="80"/>
    </row>
    <row r="109" spans="1:20">
      <c r="A109" t="s">
        <v>1061</v>
      </c>
      <c r="B109" t="s">
        <v>1666</v>
      </c>
      <c r="C109">
        <v>2.2999999999999998</v>
      </c>
      <c r="E109" s="69">
        <f t="shared" si="9"/>
        <v>434.78260869565224</v>
      </c>
      <c r="F109" s="70">
        <f t="shared" si="5"/>
        <v>1.3381549442926662E-3</v>
      </c>
      <c r="G109" s="70">
        <f t="shared" si="6"/>
        <v>1.2744332802787296E-4</v>
      </c>
      <c r="M109" s="70">
        <f t="shared" si="7"/>
        <v>1.7803832925493854E-11</v>
      </c>
      <c r="N109" s="206">
        <f t="shared" si="8"/>
        <v>71.728061699297157</v>
      </c>
      <c r="O109" s="136"/>
      <c r="P109" s="80"/>
      <c r="Q109" s="77"/>
      <c r="R109" s="77"/>
      <c r="S109" s="80"/>
      <c r="T109" s="80"/>
    </row>
    <row r="110" spans="1:20">
      <c r="A110" t="s">
        <v>1222</v>
      </c>
      <c r="B110" t="s">
        <v>1667</v>
      </c>
      <c r="C110">
        <v>970</v>
      </c>
      <c r="E110" s="69">
        <f t="shared" si="9"/>
        <v>1.0309278350515465</v>
      </c>
      <c r="F110" s="70">
        <f t="shared" si="5"/>
        <v>3.17294471327127E-6</v>
      </c>
      <c r="G110" s="70">
        <f t="shared" si="6"/>
        <v>3.0218521078773998E-7</v>
      </c>
      <c r="M110" s="70">
        <f t="shared" si="7"/>
        <v>4.2215273947047277E-14</v>
      </c>
      <c r="N110" s="206">
        <f t="shared" si="8"/>
        <v>0.17007684732823036</v>
      </c>
      <c r="O110" s="136"/>
      <c r="P110" s="80"/>
      <c r="Q110" s="77"/>
      <c r="R110" s="77"/>
      <c r="S110" s="80"/>
      <c r="T110" s="80"/>
    </row>
    <row r="111" spans="1:20">
      <c r="A111" t="s">
        <v>1223</v>
      </c>
      <c r="B111" t="s">
        <v>1668</v>
      </c>
      <c r="C111">
        <v>231</v>
      </c>
      <c r="E111" s="69">
        <f t="shared" si="9"/>
        <v>4.329004329004329</v>
      </c>
      <c r="F111" s="70">
        <f t="shared" si="5"/>
        <v>1.3323620657459444E-5</v>
      </c>
      <c r="G111" s="70">
        <f t="shared" si="6"/>
        <v>1.2689162530913756E-6</v>
      </c>
      <c r="M111" s="70">
        <f t="shared" si="7"/>
        <v>1.7726760055686518E-13</v>
      </c>
      <c r="N111" s="206">
        <f t="shared" si="8"/>
        <v>0.71417550609689784</v>
      </c>
      <c r="O111" s="136"/>
      <c r="P111" s="80"/>
      <c r="Q111" s="77"/>
      <c r="R111" s="77"/>
      <c r="S111" s="80"/>
      <c r="T111" s="80"/>
    </row>
    <row r="112" spans="1:20">
      <c r="A112" t="s">
        <v>1062</v>
      </c>
      <c r="B112" t="s">
        <v>1669</v>
      </c>
      <c r="C112">
        <v>2.6</v>
      </c>
      <c r="E112" s="69">
        <f t="shared" si="9"/>
        <v>384.61538461538458</v>
      </c>
      <c r="F112" s="70">
        <f t="shared" si="5"/>
        <v>1.1837524507204351E-3</v>
      </c>
      <c r="G112" s="70">
        <f t="shared" si="6"/>
        <v>1.1273832864004144E-4</v>
      </c>
      <c r="M112" s="70">
        <f t="shared" si="7"/>
        <v>1.574954451101379E-11</v>
      </c>
      <c r="N112" s="206">
        <f t="shared" si="8"/>
        <v>63.451746887839768</v>
      </c>
      <c r="O112" s="136"/>
      <c r="P112" s="80"/>
      <c r="Q112" s="77"/>
      <c r="R112" s="77"/>
      <c r="S112" s="80"/>
      <c r="T112" s="80"/>
    </row>
    <row r="113" spans="1:20">
      <c r="A113" t="s">
        <v>1224</v>
      </c>
      <c r="B113" t="s">
        <v>1670</v>
      </c>
      <c r="C113">
        <v>640</v>
      </c>
      <c r="E113" s="69">
        <f t="shared" si="9"/>
        <v>1.5625</v>
      </c>
      <c r="F113" s="70">
        <f t="shared" si="5"/>
        <v>4.808994331051768E-6</v>
      </c>
      <c r="G113" s="70">
        <f t="shared" si="6"/>
        <v>4.5799946010016837E-7</v>
      </c>
      <c r="M113" s="70">
        <f t="shared" si="7"/>
        <v>6.3982524575993526E-14</v>
      </c>
      <c r="N113" s="206">
        <f t="shared" si="8"/>
        <v>0.25777272173184912</v>
      </c>
      <c r="O113" s="136"/>
      <c r="P113" s="80"/>
      <c r="Q113" s="77"/>
      <c r="R113" s="77"/>
      <c r="S113" s="80"/>
      <c r="T113" s="80"/>
    </row>
    <row r="114" spans="1:20">
      <c r="A114" t="s">
        <v>1104</v>
      </c>
      <c r="B114" t="s">
        <v>1671</v>
      </c>
      <c r="C114">
        <v>25</v>
      </c>
      <c r="E114" s="69">
        <f t="shared" si="9"/>
        <v>40</v>
      </c>
      <c r="F114" s="70">
        <f t="shared" si="5"/>
        <v>1.2311025487492526E-4</v>
      </c>
      <c r="G114" s="70">
        <f t="shared" si="6"/>
        <v>1.1724786178564312E-5</v>
      </c>
      <c r="M114" s="70">
        <f t="shared" si="7"/>
        <v>1.6379526291454344E-12</v>
      </c>
      <c r="N114" s="206">
        <f t="shared" si="8"/>
        <v>6.5989816763353364</v>
      </c>
      <c r="O114" s="136"/>
      <c r="P114" s="80"/>
      <c r="Q114" s="77"/>
      <c r="R114" s="77"/>
      <c r="S114" s="80"/>
      <c r="T114" s="80"/>
    </row>
    <row r="115" spans="1:20">
      <c r="A115" t="s">
        <v>1225</v>
      </c>
      <c r="B115" s="77" t="s">
        <v>1672</v>
      </c>
      <c r="C115">
        <v>1000</v>
      </c>
      <c r="E115" s="69">
        <f t="shared" si="9"/>
        <v>1</v>
      </c>
      <c r="F115" s="70">
        <f t="shared" si="5"/>
        <v>3.0777563718731315E-6</v>
      </c>
      <c r="G115" s="70">
        <f t="shared" si="6"/>
        <v>2.9311965446410776E-7</v>
      </c>
      <c r="M115" s="70">
        <f t="shared" si="7"/>
        <v>4.0948815728635859E-14</v>
      </c>
      <c r="N115" s="206">
        <f t="shared" si="8"/>
        <v>0.16497454190838343</v>
      </c>
      <c r="O115" s="136"/>
      <c r="P115" s="80"/>
      <c r="Q115" s="77"/>
      <c r="R115" s="77"/>
      <c r="S115" s="80"/>
      <c r="T115" s="80"/>
    </row>
    <row r="116" spans="1:20">
      <c r="A116" t="s">
        <v>1105</v>
      </c>
      <c r="B116" t="s">
        <v>1673</v>
      </c>
      <c r="C116">
        <v>150</v>
      </c>
      <c r="E116" s="69">
        <f t="shared" si="9"/>
        <v>6.666666666666667</v>
      </c>
      <c r="F116" s="70">
        <f t="shared" si="5"/>
        <v>2.0518375812487547E-5</v>
      </c>
      <c r="G116" s="70">
        <f t="shared" si="6"/>
        <v>1.9541310297607189E-6</v>
      </c>
      <c r="M116" s="70">
        <f t="shared" si="7"/>
        <v>2.7299210485757239E-13</v>
      </c>
      <c r="N116" s="206">
        <f t="shared" si="8"/>
        <v>1.099830279389223</v>
      </c>
      <c r="O116" s="136"/>
      <c r="P116" s="80"/>
      <c r="Q116" s="77"/>
      <c r="R116" s="77"/>
      <c r="S116" s="80"/>
      <c r="T116" s="80"/>
    </row>
    <row r="117" spans="1:20">
      <c r="A117" t="s">
        <v>1226</v>
      </c>
      <c r="B117" t="s">
        <v>1674</v>
      </c>
      <c r="C117">
        <v>80</v>
      </c>
      <c r="E117" s="69">
        <f t="shared" si="9"/>
        <v>12.5</v>
      </c>
      <c r="F117" s="70">
        <f t="shared" si="5"/>
        <v>3.8471954648414144E-5</v>
      </c>
      <c r="G117" s="70">
        <f t="shared" si="6"/>
        <v>3.6639956808013469E-6</v>
      </c>
      <c r="M117" s="70">
        <f t="shared" si="7"/>
        <v>5.1186019660794821E-13</v>
      </c>
      <c r="N117" s="206">
        <f t="shared" si="8"/>
        <v>2.062181773854793</v>
      </c>
      <c r="O117" s="136"/>
      <c r="P117" s="80"/>
      <c r="Q117" s="77"/>
      <c r="R117" s="77"/>
      <c r="S117" s="80"/>
      <c r="T117" s="80"/>
    </row>
    <row r="118" spans="1:20">
      <c r="A118" t="s">
        <v>1227</v>
      </c>
      <c r="B118" t="s">
        <v>1675</v>
      </c>
      <c r="C118">
        <v>51</v>
      </c>
      <c r="E118" s="69">
        <f t="shared" si="9"/>
        <v>19.607843137254903</v>
      </c>
      <c r="F118" s="70">
        <f t="shared" si="5"/>
        <v>6.0348164154375137E-5</v>
      </c>
      <c r="G118" s="70">
        <f t="shared" si="6"/>
        <v>5.7474442051785846E-6</v>
      </c>
      <c r="M118" s="70">
        <f t="shared" si="7"/>
        <v>8.0291795546344828E-13</v>
      </c>
      <c r="N118" s="206">
        <f t="shared" si="8"/>
        <v>3.2347949393800675</v>
      </c>
      <c r="O118" s="136"/>
      <c r="P118" s="80"/>
      <c r="Q118" s="77"/>
      <c r="R118" s="77"/>
      <c r="S118" s="80"/>
      <c r="T118" s="80"/>
    </row>
    <row r="119" spans="1:20">
      <c r="A119" t="s">
        <v>1063</v>
      </c>
      <c r="B119" t="s">
        <v>1676</v>
      </c>
      <c r="C119">
        <v>14</v>
      </c>
      <c r="E119" s="69">
        <f t="shared" si="9"/>
        <v>71.428571428571431</v>
      </c>
      <c r="F119" s="70">
        <f t="shared" si="5"/>
        <v>2.1983974084808085E-4</v>
      </c>
      <c r="G119" s="70">
        <f t="shared" si="6"/>
        <v>2.0937118176007699E-5</v>
      </c>
      <c r="M119" s="70">
        <f t="shared" si="7"/>
        <v>2.924915409188276E-12</v>
      </c>
      <c r="N119" s="206">
        <f t="shared" si="8"/>
        <v>11.783895850598817</v>
      </c>
      <c r="O119" s="136"/>
      <c r="P119" s="80"/>
      <c r="Q119" s="77"/>
      <c r="R119" s="77"/>
      <c r="S119" s="80"/>
      <c r="T119" s="80"/>
    </row>
    <row r="120" spans="1:20">
      <c r="A120" t="s">
        <v>1228</v>
      </c>
      <c r="B120" t="s">
        <v>1677</v>
      </c>
      <c r="C120">
        <v>1652</v>
      </c>
      <c r="E120" s="69">
        <f t="shared" si="9"/>
        <v>0.60532687651331718</v>
      </c>
      <c r="F120" s="70">
        <f t="shared" si="5"/>
        <v>1.8630486512549224E-6</v>
      </c>
      <c r="G120" s="70">
        <f t="shared" si="6"/>
        <v>1.7743320488142116E-7</v>
      </c>
      <c r="M120" s="70">
        <f t="shared" si="7"/>
        <v>2.4787418721934541E-14</v>
      </c>
      <c r="N120" s="206">
        <f t="shared" si="8"/>
        <v>9.9863524157617081E-2</v>
      </c>
      <c r="O120" s="136"/>
      <c r="P120" s="80"/>
      <c r="Q120" s="77"/>
      <c r="R120" s="77"/>
      <c r="S120" s="80"/>
      <c r="T120" s="80"/>
    </row>
    <row r="121" spans="1:20">
      <c r="A121" t="s">
        <v>1229</v>
      </c>
      <c r="B121" t="s">
        <v>1678</v>
      </c>
      <c r="C121">
        <v>87</v>
      </c>
      <c r="E121" s="69">
        <f t="shared" si="9"/>
        <v>11.494252873563218</v>
      </c>
      <c r="F121" s="70">
        <f t="shared" si="5"/>
        <v>3.5376510021530246E-5</v>
      </c>
      <c r="G121" s="70">
        <f t="shared" si="6"/>
        <v>3.3691914306219283E-6</v>
      </c>
      <c r="M121" s="70">
        <f t="shared" si="7"/>
        <v>4.706760428578834E-13</v>
      </c>
      <c r="N121" s="206">
        <f t="shared" si="8"/>
        <v>1.8962591023952118</v>
      </c>
      <c r="O121" s="136"/>
      <c r="P121" s="80"/>
      <c r="Q121" s="77"/>
      <c r="R121" s="77"/>
      <c r="S121" s="80"/>
      <c r="T121" s="80"/>
    </row>
    <row r="122" spans="1:20">
      <c r="A122" t="s">
        <v>1106</v>
      </c>
      <c r="B122" t="s">
        <v>1679</v>
      </c>
      <c r="C122">
        <v>200</v>
      </c>
      <c r="E122" s="69">
        <f t="shared" si="9"/>
        <v>5</v>
      </c>
      <c r="F122" s="70">
        <f t="shared" si="5"/>
        <v>1.5388781859365658E-5</v>
      </c>
      <c r="G122" s="70">
        <f t="shared" si="6"/>
        <v>1.4655982723205389E-6</v>
      </c>
      <c r="M122" s="70">
        <f t="shared" si="7"/>
        <v>2.047440786431793E-13</v>
      </c>
      <c r="N122" s="206">
        <f t="shared" si="8"/>
        <v>0.82487270954191705</v>
      </c>
      <c r="O122" s="136"/>
      <c r="P122" s="80"/>
      <c r="Q122" s="77"/>
      <c r="R122" s="77"/>
      <c r="S122" s="80"/>
      <c r="T122" s="80"/>
    </row>
    <row r="123" spans="1:20">
      <c r="A123" t="s">
        <v>1230</v>
      </c>
      <c r="B123" t="s">
        <v>1680</v>
      </c>
      <c r="C123">
        <v>208</v>
      </c>
      <c r="E123" s="69">
        <f t="shared" si="9"/>
        <v>4.8076923076923084</v>
      </c>
      <c r="F123" s="70">
        <f t="shared" si="5"/>
        <v>1.4796905634005443E-5</v>
      </c>
      <c r="G123" s="70">
        <f t="shared" si="6"/>
        <v>1.4092291080005183E-6</v>
      </c>
      <c r="M123" s="70">
        <f t="shared" si="7"/>
        <v>1.9686930638767241E-13</v>
      </c>
      <c r="N123" s="206">
        <f t="shared" si="8"/>
        <v>0.79314683609799719</v>
      </c>
      <c r="O123" s="136"/>
      <c r="P123" s="80"/>
      <c r="Q123" s="77"/>
      <c r="R123" s="77"/>
      <c r="S123" s="80"/>
      <c r="T123" s="80"/>
    </row>
    <row r="124" spans="1:20">
      <c r="A124" t="s">
        <v>1064</v>
      </c>
      <c r="B124" t="s">
        <v>1681</v>
      </c>
      <c r="C124">
        <v>33</v>
      </c>
      <c r="E124" s="69">
        <f t="shared" si="9"/>
        <v>30.303030303030305</v>
      </c>
      <c r="F124" s="70">
        <f t="shared" si="5"/>
        <v>9.3265344602216102E-5</v>
      </c>
      <c r="G124" s="70">
        <f t="shared" si="6"/>
        <v>8.8824137716396293E-6</v>
      </c>
      <c r="M124" s="70">
        <f t="shared" si="7"/>
        <v>1.2408732038980563E-12</v>
      </c>
      <c r="N124" s="206">
        <f t="shared" si="8"/>
        <v>4.999228542678285</v>
      </c>
      <c r="O124" s="136"/>
      <c r="P124" s="80"/>
      <c r="Q124" s="77"/>
      <c r="R124" s="77"/>
      <c r="S124" s="80"/>
      <c r="T124" s="80"/>
    </row>
    <row r="125" spans="1:20">
      <c r="A125" t="s">
        <v>1107</v>
      </c>
      <c r="B125" t="s">
        <v>1682</v>
      </c>
      <c r="C125">
        <v>48</v>
      </c>
      <c r="E125" s="69">
        <f t="shared" si="9"/>
        <v>20.833333333333332</v>
      </c>
      <c r="F125" s="70">
        <f t="shared" si="5"/>
        <v>6.4119924414023574E-5</v>
      </c>
      <c r="G125" s="70">
        <f t="shared" si="6"/>
        <v>6.1066594680022457E-6</v>
      </c>
      <c r="M125" s="70">
        <f t="shared" si="7"/>
        <v>8.5310032767991368E-13</v>
      </c>
      <c r="N125" s="206">
        <f t="shared" si="8"/>
        <v>3.4369696230913207</v>
      </c>
      <c r="O125" s="136"/>
      <c r="P125" s="80"/>
      <c r="Q125" s="77"/>
      <c r="R125" s="77"/>
      <c r="S125" s="80"/>
      <c r="T125" s="80"/>
    </row>
    <row r="126" spans="1:20">
      <c r="A126" t="s">
        <v>1108</v>
      </c>
      <c r="B126" t="s">
        <v>1683</v>
      </c>
      <c r="C126">
        <v>15</v>
      </c>
      <c r="E126" s="69">
        <f t="shared" si="9"/>
        <v>66.666666666666671</v>
      </c>
      <c r="F126" s="70">
        <f t="shared" si="5"/>
        <v>2.0518375812487546E-4</v>
      </c>
      <c r="G126" s="70">
        <f t="shared" si="6"/>
        <v>1.9541310297607187E-5</v>
      </c>
      <c r="M126" s="70">
        <f t="shared" si="7"/>
        <v>2.7299210485757238E-12</v>
      </c>
      <c r="N126" s="206">
        <f t="shared" si="8"/>
        <v>10.998302793892229</v>
      </c>
      <c r="O126" s="136"/>
      <c r="P126" s="80"/>
      <c r="Q126" s="77"/>
      <c r="R126" s="77"/>
      <c r="S126" s="80"/>
      <c r="T126" s="80"/>
    </row>
    <row r="127" spans="1:20">
      <c r="A127" t="s">
        <v>1231</v>
      </c>
      <c r="B127" t="s">
        <v>1684</v>
      </c>
      <c r="C127">
        <v>134</v>
      </c>
      <c r="E127" s="69">
        <f t="shared" si="9"/>
        <v>7.4626865671641793</v>
      </c>
      <c r="F127" s="70">
        <f t="shared" si="5"/>
        <v>2.296833113338158E-5</v>
      </c>
      <c r="G127" s="70">
        <f t="shared" si="6"/>
        <v>2.1874601079411028E-6</v>
      </c>
      <c r="M127" s="70">
        <f t="shared" si="7"/>
        <v>3.0558817707937209E-13</v>
      </c>
      <c r="N127" s="206">
        <f t="shared" si="8"/>
        <v>1.2311532978237567</v>
      </c>
      <c r="O127" s="136"/>
      <c r="P127" s="80"/>
      <c r="Q127" s="77"/>
      <c r="R127" s="77"/>
      <c r="S127" s="80"/>
      <c r="T127" s="80"/>
    </row>
    <row r="128" spans="1:20">
      <c r="A128" t="s">
        <v>1232</v>
      </c>
      <c r="B128" t="s">
        <v>1685</v>
      </c>
      <c r="C128">
        <v>503</v>
      </c>
      <c r="E128" s="69">
        <f t="shared" si="9"/>
        <v>1.9880715705765406</v>
      </c>
      <c r="F128" s="70">
        <f t="shared" si="5"/>
        <v>6.1187999440817721E-6</v>
      </c>
      <c r="G128" s="70">
        <f t="shared" si="6"/>
        <v>5.8274285181731168E-7</v>
      </c>
      <c r="M128" s="70">
        <f t="shared" si="7"/>
        <v>8.1409176398878442E-14</v>
      </c>
      <c r="N128" s="206">
        <f t="shared" si="8"/>
        <v>0.32798119663694514</v>
      </c>
      <c r="O128" s="136"/>
      <c r="P128" s="80"/>
      <c r="Q128" s="77"/>
      <c r="R128" s="77"/>
      <c r="S128" s="80"/>
      <c r="T128" s="80"/>
    </row>
    <row r="129" spans="1:20">
      <c r="A129" t="s">
        <v>1233</v>
      </c>
      <c r="B129" t="s">
        <v>1686</v>
      </c>
      <c r="C129">
        <v>620</v>
      </c>
      <c r="E129" s="69">
        <f t="shared" si="9"/>
        <v>1.6129032258064515</v>
      </c>
      <c r="F129" s="70">
        <f t="shared" si="5"/>
        <v>4.9641231804405345E-6</v>
      </c>
      <c r="G129" s="70">
        <f t="shared" si="6"/>
        <v>4.7277363623243185E-7</v>
      </c>
      <c r="M129" s="70">
        <f t="shared" si="7"/>
        <v>6.6046476981670725E-14</v>
      </c>
      <c r="N129" s="206">
        <f t="shared" si="8"/>
        <v>0.26608797081997321</v>
      </c>
      <c r="O129" s="136"/>
      <c r="P129" s="80"/>
      <c r="Q129" s="77"/>
      <c r="R129" s="77"/>
      <c r="S129" s="80"/>
      <c r="T129" s="80"/>
    </row>
    <row r="130" spans="1:20">
      <c r="A130" t="s">
        <v>1234</v>
      </c>
      <c r="B130" t="s">
        <v>1687</v>
      </c>
      <c r="C130">
        <v>1150</v>
      </c>
      <c r="E130" s="69">
        <f t="shared" si="9"/>
        <v>0.86956521739130443</v>
      </c>
      <c r="F130" s="70">
        <f t="shared" ref="F130:F193" si="10">18000/2360000000*35*E130/averagepesticidepotency</f>
        <v>2.6763098885853324E-6</v>
      </c>
      <c r="G130" s="70">
        <f t="shared" ref="G130:G193" si="11">3000000*0.02/2360000000*E130/averagepesticidepotency</f>
        <v>2.5488665605574591E-7</v>
      </c>
      <c r="M130" s="70">
        <f t="shared" ref="M130:M193" si="12">0.008382/2360000000*E130/averagepesticidepotency</f>
        <v>3.5607665850987706E-14</v>
      </c>
      <c r="N130" s="206">
        <f t="shared" ref="N130:N193" si="13">F130*YOLLvalue+G130*poisoningvalue+H130*As_orevalue+I130*Cu_orevalue+J130*Hg_orevalue+K130*Pb_orevalue+L130*Zn_orevalue+M130*speciesvalue</f>
        <v>0.14345612339859434</v>
      </c>
      <c r="O130" s="136"/>
      <c r="P130" s="80"/>
      <c r="Q130" s="77"/>
      <c r="R130" s="77"/>
      <c r="S130" s="80"/>
      <c r="T130" s="80"/>
    </row>
    <row r="131" spans="1:20">
      <c r="A131" t="s">
        <v>1236</v>
      </c>
      <c r="B131" t="s">
        <v>1688</v>
      </c>
      <c r="C131">
        <v>66</v>
      </c>
      <c r="E131" s="69">
        <f t="shared" ref="E131:E194" si="14">1/C131*1000</f>
        <v>15.151515151515152</v>
      </c>
      <c r="F131" s="70">
        <f t="shared" si="10"/>
        <v>4.6632672301108051E-5</v>
      </c>
      <c r="G131" s="70">
        <f t="shared" si="11"/>
        <v>4.4412068858198146E-6</v>
      </c>
      <c r="M131" s="70">
        <f t="shared" si="12"/>
        <v>6.2043660194902815E-13</v>
      </c>
      <c r="N131" s="206">
        <f t="shared" si="13"/>
        <v>2.4996142713391425</v>
      </c>
      <c r="O131" s="136"/>
      <c r="P131" s="80"/>
      <c r="Q131" s="77"/>
      <c r="R131" s="77"/>
      <c r="S131" s="80"/>
      <c r="T131" s="80"/>
    </row>
    <row r="132" spans="1:20">
      <c r="A132" t="s">
        <v>1235</v>
      </c>
      <c r="B132" t="s">
        <v>1689</v>
      </c>
      <c r="C132">
        <v>1140</v>
      </c>
      <c r="E132" s="69">
        <f t="shared" si="14"/>
        <v>0.87719298245614041</v>
      </c>
      <c r="F132" s="70">
        <f t="shared" si="10"/>
        <v>2.6997862911167824E-6</v>
      </c>
      <c r="G132" s="70">
        <f t="shared" si="11"/>
        <v>2.5712250391588401E-7</v>
      </c>
      <c r="M132" s="70">
        <f t="shared" si="12"/>
        <v>3.5920013797049001E-14</v>
      </c>
      <c r="N132" s="206">
        <f t="shared" si="13"/>
        <v>0.14471451044595041</v>
      </c>
      <c r="O132" s="136"/>
      <c r="P132" s="80"/>
      <c r="Q132" s="77"/>
      <c r="R132" s="77"/>
      <c r="S132" s="80"/>
      <c r="T132" s="80"/>
    </row>
    <row r="133" spans="1:20">
      <c r="A133" t="s">
        <v>1237</v>
      </c>
      <c r="B133" t="s">
        <v>1238</v>
      </c>
      <c r="C133">
        <v>245</v>
      </c>
      <c r="E133" s="69">
        <f t="shared" si="14"/>
        <v>4.0816326530612246</v>
      </c>
      <c r="F133" s="70">
        <f t="shared" si="10"/>
        <v>1.2562270905604618E-5</v>
      </c>
      <c r="G133" s="70">
        <f t="shared" si="11"/>
        <v>1.1964067529147257E-6</v>
      </c>
      <c r="M133" s="70">
        <f t="shared" si="12"/>
        <v>1.6713802338218717E-13</v>
      </c>
      <c r="N133" s="206">
        <f t="shared" si="13"/>
        <v>0.67336547717707507</v>
      </c>
      <c r="O133" s="136"/>
      <c r="P133" s="80"/>
      <c r="Q133" s="77"/>
      <c r="R133" s="77"/>
      <c r="S133" s="80"/>
      <c r="T133" s="80"/>
    </row>
    <row r="134" spans="1:20">
      <c r="A134" t="s">
        <v>1239</v>
      </c>
      <c r="B134" t="s">
        <v>1690</v>
      </c>
      <c r="C134">
        <v>586</v>
      </c>
      <c r="E134" s="69">
        <f t="shared" si="14"/>
        <v>1.7064846416382253</v>
      </c>
      <c r="F134" s="70">
        <f t="shared" si="10"/>
        <v>5.2521439793056853E-6</v>
      </c>
      <c r="G134" s="70">
        <f t="shared" si="11"/>
        <v>5.0020418850530348E-7</v>
      </c>
      <c r="M134" s="70">
        <f t="shared" si="12"/>
        <v>6.987852513419089E-14</v>
      </c>
      <c r="N134" s="206">
        <f t="shared" si="13"/>
        <v>0.28152652202795808</v>
      </c>
      <c r="O134" s="136"/>
      <c r="P134" s="80"/>
      <c r="Q134" s="77"/>
      <c r="R134" s="77"/>
      <c r="S134" s="80"/>
      <c r="T134" s="80"/>
    </row>
    <row r="135" spans="1:20">
      <c r="A135" t="s">
        <v>1240</v>
      </c>
      <c r="B135" t="s">
        <v>1691</v>
      </c>
      <c r="C135">
        <v>125</v>
      </c>
      <c r="E135" s="69">
        <f t="shared" si="14"/>
        <v>8</v>
      </c>
      <c r="F135" s="70">
        <f t="shared" si="10"/>
        <v>2.4622050974985052E-5</v>
      </c>
      <c r="G135" s="70">
        <f t="shared" si="11"/>
        <v>2.3449572357128621E-6</v>
      </c>
      <c r="M135" s="70">
        <f t="shared" si="12"/>
        <v>3.2759052582908687E-13</v>
      </c>
      <c r="N135" s="206">
        <f t="shared" si="13"/>
        <v>1.3197963352670674</v>
      </c>
      <c r="O135" s="136"/>
      <c r="P135" s="80"/>
      <c r="Q135" s="77"/>
      <c r="R135" s="77"/>
      <c r="S135" s="80"/>
      <c r="T135" s="80"/>
    </row>
    <row r="136" spans="1:20">
      <c r="A136" t="s">
        <v>1241</v>
      </c>
      <c r="B136" t="s">
        <v>1692</v>
      </c>
      <c r="C136">
        <v>108</v>
      </c>
      <c r="E136" s="69">
        <f t="shared" si="14"/>
        <v>9.2592592592592595</v>
      </c>
      <c r="F136" s="70">
        <f t="shared" si="10"/>
        <v>2.8497744184010481E-5</v>
      </c>
      <c r="G136" s="70">
        <f t="shared" si="11"/>
        <v>2.7140708746676644E-6</v>
      </c>
      <c r="M136" s="70">
        <f t="shared" si="12"/>
        <v>3.791557011910728E-13</v>
      </c>
      <c r="N136" s="206">
        <f t="shared" si="13"/>
        <v>1.527542054707254</v>
      </c>
      <c r="O136" s="136"/>
      <c r="P136" s="80"/>
      <c r="Q136" s="77"/>
      <c r="R136" s="77"/>
      <c r="S136" s="80"/>
      <c r="T136" s="80"/>
    </row>
    <row r="137" spans="1:20">
      <c r="A137" t="s">
        <v>1242</v>
      </c>
      <c r="B137" t="s">
        <v>1693</v>
      </c>
      <c r="C137">
        <v>450</v>
      </c>
      <c r="E137" s="69">
        <f t="shared" si="14"/>
        <v>2.2222222222222223</v>
      </c>
      <c r="F137" s="70">
        <f t="shared" si="10"/>
        <v>6.8394586041625148E-6</v>
      </c>
      <c r="G137" s="70">
        <f t="shared" si="11"/>
        <v>6.5137700992023952E-7</v>
      </c>
      <c r="M137" s="70">
        <f t="shared" si="12"/>
        <v>9.0997368285857467E-14</v>
      </c>
      <c r="N137" s="206">
        <f t="shared" si="13"/>
        <v>0.36661009312974097</v>
      </c>
      <c r="O137" s="136"/>
      <c r="P137" s="80"/>
      <c r="Q137" s="77"/>
      <c r="R137" s="77"/>
      <c r="S137" s="80"/>
      <c r="T137" s="80"/>
    </row>
    <row r="138" spans="1:20">
      <c r="A138" t="s">
        <v>1243</v>
      </c>
      <c r="B138" t="s">
        <v>1694</v>
      </c>
      <c r="C138">
        <v>725</v>
      </c>
      <c r="E138" s="69">
        <f t="shared" si="14"/>
        <v>1.3793103448275861</v>
      </c>
      <c r="F138" s="70">
        <f t="shared" si="10"/>
        <v>4.2451812025836292E-6</v>
      </c>
      <c r="G138" s="70">
        <f t="shared" si="11"/>
        <v>4.0430297167463137E-7</v>
      </c>
      <c r="M138" s="70">
        <f t="shared" si="12"/>
        <v>5.6481125142946009E-14</v>
      </c>
      <c r="N138" s="206">
        <f t="shared" si="13"/>
        <v>0.2275510922874254</v>
      </c>
      <c r="O138" s="136"/>
      <c r="P138" s="80"/>
      <c r="Q138" s="77"/>
      <c r="R138" s="77"/>
      <c r="S138" s="80"/>
      <c r="T138" s="80"/>
    </row>
    <row r="139" spans="1:20">
      <c r="A139" t="s">
        <v>642</v>
      </c>
      <c r="B139" t="s">
        <v>1244</v>
      </c>
      <c r="C139">
        <v>92</v>
      </c>
      <c r="E139" s="69">
        <f t="shared" si="14"/>
        <v>10.869565217391305</v>
      </c>
      <c r="F139" s="70">
        <f t="shared" si="10"/>
        <v>3.3453873607316648E-5</v>
      </c>
      <c r="G139" s="70">
        <f t="shared" si="11"/>
        <v>3.1860832006968239E-6</v>
      </c>
      <c r="M139" s="70">
        <f t="shared" si="12"/>
        <v>4.4509582313734633E-13</v>
      </c>
      <c r="N139" s="206">
        <f t="shared" si="13"/>
        <v>1.7932015424824284</v>
      </c>
      <c r="O139" s="136"/>
      <c r="P139" s="80"/>
      <c r="Q139" s="77"/>
      <c r="R139" s="77"/>
      <c r="S139" s="80"/>
      <c r="T139" s="80"/>
    </row>
    <row r="140" spans="1:20">
      <c r="A140" t="s">
        <v>1065</v>
      </c>
      <c r="B140" t="s">
        <v>1695</v>
      </c>
      <c r="C140">
        <v>0.25</v>
      </c>
      <c r="E140" s="69">
        <f t="shared" si="14"/>
        <v>4000</v>
      </c>
      <c r="F140" s="70">
        <f t="shared" si="10"/>
        <v>1.2311025487492527E-2</v>
      </c>
      <c r="G140" s="70">
        <f t="shared" si="11"/>
        <v>1.172478617856431E-3</v>
      </c>
      <c r="M140" s="70">
        <f t="shared" si="12"/>
        <v>1.6379526291454343E-10</v>
      </c>
      <c r="N140" s="206">
        <f t="shared" si="13"/>
        <v>659.89816763353372</v>
      </c>
      <c r="O140" s="136"/>
      <c r="P140" s="80"/>
      <c r="Q140" s="77"/>
      <c r="R140" s="77"/>
      <c r="S140" s="80"/>
      <c r="T140" s="80"/>
    </row>
    <row r="141" spans="1:20">
      <c r="A141" t="s">
        <v>1245</v>
      </c>
      <c r="B141" t="s">
        <v>1696</v>
      </c>
      <c r="C141">
        <v>1550</v>
      </c>
      <c r="E141" s="69">
        <f t="shared" si="14"/>
        <v>0.64516129032258063</v>
      </c>
      <c r="F141" s="70">
        <f t="shared" si="10"/>
        <v>1.9856492721762139E-6</v>
      </c>
      <c r="G141" s="70">
        <f t="shared" si="11"/>
        <v>1.8910945449297276E-7</v>
      </c>
      <c r="M141" s="70">
        <f t="shared" si="12"/>
        <v>2.6418590792668293E-14</v>
      </c>
      <c r="N141" s="206">
        <f t="shared" si="13"/>
        <v>0.1064351883279893</v>
      </c>
      <c r="O141" s="136"/>
      <c r="P141" s="80"/>
      <c r="Q141" s="77"/>
      <c r="R141" s="77"/>
      <c r="S141" s="80"/>
      <c r="T141" s="80"/>
    </row>
    <row r="142" spans="1:20">
      <c r="A142" t="s">
        <v>1109</v>
      </c>
      <c r="B142" t="s">
        <v>1697</v>
      </c>
      <c r="C142">
        <v>67</v>
      </c>
      <c r="E142" s="69">
        <f t="shared" si="14"/>
        <v>14.925373134328359</v>
      </c>
      <c r="F142" s="70">
        <f t="shared" si="10"/>
        <v>4.593666226676316E-5</v>
      </c>
      <c r="G142" s="70">
        <f t="shared" si="11"/>
        <v>4.3749202158822056E-6</v>
      </c>
      <c r="M142" s="70">
        <f t="shared" si="12"/>
        <v>6.1117635415874417E-13</v>
      </c>
      <c r="N142" s="206">
        <f t="shared" si="13"/>
        <v>2.4623065956475134</v>
      </c>
      <c r="O142" s="136"/>
      <c r="P142" s="80"/>
      <c r="Q142" s="77"/>
      <c r="R142" s="77"/>
      <c r="S142" s="80"/>
      <c r="T142" s="80"/>
    </row>
    <row r="143" spans="1:20">
      <c r="A143" t="s">
        <v>1246</v>
      </c>
      <c r="B143" t="s">
        <v>1698</v>
      </c>
      <c r="C143">
        <v>600</v>
      </c>
      <c r="E143" s="69">
        <f t="shared" si="14"/>
        <v>1.6666666666666667</v>
      </c>
      <c r="F143" s="70">
        <f t="shared" si="10"/>
        <v>5.1295939531218867E-6</v>
      </c>
      <c r="G143" s="70">
        <f t="shared" si="11"/>
        <v>4.8853275744017972E-7</v>
      </c>
      <c r="M143" s="70">
        <f t="shared" si="12"/>
        <v>6.8248026214393097E-14</v>
      </c>
      <c r="N143" s="206">
        <f t="shared" si="13"/>
        <v>0.27495756984730574</v>
      </c>
      <c r="O143" s="136"/>
      <c r="P143" s="80"/>
      <c r="Q143" s="77"/>
      <c r="R143" s="77"/>
      <c r="S143" s="80"/>
      <c r="T143" s="80"/>
    </row>
    <row r="144" spans="1:20">
      <c r="A144" t="s">
        <v>1110</v>
      </c>
      <c r="B144" t="s">
        <v>1699</v>
      </c>
      <c r="C144">
        <v>13</v>
      </c>
      <c r="E144" s="69">
        <f t="shared" si="14"/>
        <v>76.923076923076934</v>
      </c>
      <c r="F144" s="70">
        <f t="shared" si="10"/>
        <v>2.3675049014408708E-4</v>
      </c>
      <c r="G144" s="70">
        <f t="shared" si="11"/>
        <v>2.2547665728008293E-5</v>
      </c>
      <c r="M144" s="70">
        <f t="shared" si="12"/>
        <v>3.1499089022027586E-12</v>
      </c>
      <c r="N144" s="206">
        <f t="shared" si="13"/>
        <v>12.690349377567955</v>
      </c>
      <c r="O144" s="136"/>
      <c r="P144" s="80"/>
      <c r="Q144" s="77"/>
      <c r="R144" s="77"/>
      <c r="S144" s="80"/>
      <c r="T144" s="80"/>
    </row>
    <row r="145" spans="1:20">
      <c r="A145" t="s">
        <v>1247</v>
      </c>
      <c r="B145" t="s">
        <v>1700</v>
      </c>
      <c r="C145">
        <v>1550</v>
      </c>
      <c r="E145" s="69">
        <f t="shared" si="14"/>
        <v>0.64516129032258063</v>
      </c>
      <c r="F145" s="70">
        <f t="shared" si="10"/>
        <v>1.9856492721762139E-6</v>
      </c>
      <c r="G145" s="70">
        <f t="shared" si="11"/>
        <v>1.8910945449297276E-7</v>
      </c>
      <c r="M145" s="70">
        <f t="shared" si="12"/>
        <v>2.6418590792668293E-14</v>
      </c>
      <c r="N145" s="206">
        <f t="shared" si="13"/>
        <v>0.1064351883279893</v>
      </c>
      <c r="O145" s="136"/>
      <c r="P145" s="80"/>
      <c r="Q145" s="77"/>
      <c r="R145" s="77"/>
      <c r="S145" s="80"/>
      <c r="T145" s="80"/>
    </row>
    <row r="146" spans="1:20">
      <c r="A146" t="s">
        <v>1248</v>
      </c>
      <c r="B146" t="s">
        <v>1701</v>
      </c>
      <c r="C146">
        <v>709</v>
      </c>
      <c r="E146" s="69">
        <f t="shared" si="14"/>
        <v>1.4104372355430184</v>
      </c>
      <c r="F146" s="70">
        <f t="shared" si="10"/>
        <v>4.3409821888196499E-6</v>
      </c>
      <c r="G146" s="70">
        <f t="shared" si="11"/>
        <v>4.1342687512568096E-7</v>
      </c>
      <c r="M146" s="70">
        <f t="shared" si="12"/>
        <v>5.7755734455057628E-14</v>
      </c>
      <c r="N146" s="206">
        <f t="shared" si="13"/>
        <v>0.23268623682423614</v>
      </c>
      <c r="O146" s="136"/>
      <c r="P146" s="80"/>
      <c r="Q146" s="77"/>
      <c r="R146" s="77"/>
      <c r="S146" s="80"/>
      <c r="T146" s="80"/>
    </row>
    <row r="147" spans="1:20">
      <c r="A147" t="s">
        <v>1249</v>
      </c>
      <c r="B147" t="s">
        <v>1702</v>
      </c>
      <c r="C147">
        <v>672</v>
      </c>
      <c r="E147" s="69">
        <f t="shared" si="14"/>
        <v>1.4880952380952379</v>
      </c>
      <c r="F147" s="70">
        <f t="shared" si="10"/>
        <v>4.5799946010016835E-6</v>
      </c>
      <c r="G147" s="70">
        <f t="shared" si="11"/>
        <v>4.3618996200016031E-7</v>
      </c>
      <c r="M147" s="70">
        <f t="shared" si="12"/>
        <v>6.0935737691422391E-14</v>
      </c>
      <c r="N147" s="206">
        <f t="shared" si="13"/>
        <v>0.24549783022080865</v>
      </c>
      <c r="O147" s="136"/>
      <c r="P147" s="80"/>
      <c r="Q147" s="77"/>
      <c r="R147" s="77"/>
      <c r="S147" s="80"/>
      <c r="T147" s="80"/>
    </row>
    <row r="148" spans="1:20">
      <c r="A148" t="s">
        <v>1250</v>
      </c>
      <c r="B148" t="s">
        <v>1703</v>
      </c>
      <c r="C148">
        <v>1140</v>
      </c>
      <c r="E148" s="69">
        <f t="shared" si="14"/>
        <v>0.87719298245614041</v>
      </c>
      <c r="F148" s="70">
        <f t="shared" si="10"/>
        <v>2.6997862911167824E-6</v>
      </c>
      <c r="G148" s="70">
        <f t="shared" si="11"/>
        <v>2.5712250391588401E-7</v>
      </c>
      <c r="M148" s="70">
        <f t="shared" si="12"/>
        <v>3.5920013797049001E-14</v>
      </c>
      <c r="N148" s="206">
        <f t="shared" si="13"/>
        <v>0.14471451044595041</v>
      </c>
      <c r="O148" s="136"/>
      <c r="P148" s="80"/>
      <c r="Q148" s="77"/>
      <c r="R148" s="77"/>
      <c r="S148" s="80"/>
      <c r="T148" s="80"/>
    </row>
    <row r="149" spans="1:20">
      <c r="A149" t="s">
        <v>1251</v>
      </c>
      <c r="B149" t="s">
        <v>1704</v>
      </c>
      <c r="C149">
        <v>670</v>
      </c>
      <c r="E149" s="69">
        <f t="shared" si="14"/>
        <v>1.4925373134328359</v>
      </c>
      <c r="F149" s="70">
        <f t="shared" si="10"/>
        <v>4.5936662266763158E-6</v>
      </c>
      <c r="G149" s="70">
        <f t="shared" si="11"/>
        <v>4.3749202158822061E-7</v>
      </c>
      <c r="M149" s="70">
        <f t="shared" si="12"/>
        <v>6.1117635415874417E-14</v>
      </c>
      <c r="N149" s="206">
        <f t="shared" si="13"/>
        <v>0.24623065956475138</v>
      </c>
      <c r="O149" s="136"/>
      <c r="P149" s="80"/>
      <c r="Q149" s="77"/>
      <c r="R149" s="77"/>
      <c r="S149" s="80"/>
      <c r="T149" s="80"/>
    </row>
    <row r="150" spans="1:20">
      <c r="A150" t="s">
        <v>1252</v>
      </c>
      <c r="B150" t="s">
        <v>1705</v>
      </c>
      <c r="C150">
        <v>1250</v>
      </c>
      <c r="E150" s="69">
        <f t="shared" si="14"/>
        <v>0.8</v>
      </c>
      <c r="F150" s="70">
        <f t="shared" si="10"/>
        <v>2.4622050974985056E-6</v>
      </c>
      <c r="G150" s="70">
        <f t="shared" si="11"/>
        <v>2.3449572357128623E-7</v>
      </c>
      <c r="M150" s="70">
        <f t="shared" si="12"/>
        <v>3.2759052582908689E-14</v>
      </c>
      <c r="N150" s="206">
        <f t="shared" si="13"/>
        <v>0.13197963352670675</v>
      </c>
      <c r="O150" s="136"/>
      <c r="P150" s="80"/>
      <c r="Q150" s="77"/>
      <c r="R150" s="77"/>
      <c r="S150" s="80"/>
      <c r="T150" s="80"/>
    </row>
    <row r="151" spans="1:20">
      <c r="A151" t="s">
        <v>1111</v>
      </c>
      <c r="B151" t="s">
        <v>1706</v>
      </c>
      <c r="C151">
        <v>21</v>
      </c>
      <c r="E151" s="69">
        <f t="shared" si="14"/>
        <v>47.619047619047613</v>
      </c>
      <c r="F151" s="70">
        <f t="shared" si="10"/>
        <v>1.4655982723205387E-4</v>
      </c>
      <c r="G151" s="70">
        <f t="shared" si="11"/>
        <v>1.395807878400513E-5</v>
      </c>
      <c r="M151" s="70">
        <f t="shared" si="12"/>
        <v>1.9499436061255165E-12</v>
      </c>
      <c r="N151" s="206">
        <f t="shared" si="13"/>
        <v>7.8559305670658768</v>
      </c>
      <c r="O151" s="136"/>
      <c r="P151" s="80"/>
      <c r="Q151" s="77"/>
      <c r="R151" s="77"/>
      <c r="S151" s="80"/>
      <c r="T151" s="80"/>
    </row>
    <row r="152" spans="1:20">
      <c r="A152" t="s">
        <v>1253</v>
      </c>
      <c r="B152" t="s">
        <v>1707</v>
      </c>
      <c r="C152">
        <v>336</v>
      </c>
      <c r="E152" s="69">
        <f t="shared" si="14"/>
        <v>2.9761904761904758</v>
      </c>
      <c r="F152" s="70">
        <f t="shared" si="10"/>
        <v>9.1599892020033669E-6</v>
      </c>
      <c r="G152" s="70">
        <f t="shared" si="11"/>
        <v>8.7237992400032062E-7</v>
      </c>
      <c r="M152" s="70">
        <f t="shared" si="12"/>
        <v>1.2187147538284478E-13</v>
      </c>
      <c r="N152" s="206">
        <f t="shared" si="13"/>
        <v>0.4909956604416173</v>
      </c>
      <c r="O152" s="136"/>
      <c r="P152" s="80"/>
      <c r="Q152" s="77"/>
      <c r="R152" s="77"/>
      <c r="S152" s="80"/>
      <c r="T152" s="80"/>
    </row>
    <row r="153" spans="1:20">
      <c r="A153" t="s">
        <v>1254</v>
      </c>
      <c r="B153" t="s">
        <v>1708</v>
      </c>
      <c r="C153">
        <v>940</v>
      </c>
      <c r="E153" s="69">
        <f t="shared" si="14"/>
        <v>1.0638297872340425</v>
      </c>
      <c r="F153" s="70">
        <f t="shared" si="10"/>
        <v>3.2742089062480123E-6</v>
      </c>
      <c r="G153" s="70">
        <f t="shared" si="11"/>
        <v>3.1182941964266784E-7</v>
      </c>
      <c r="M153" s="70">
        <f t="shared" si="12"/>
        <v>4.3562569924080693E-14</v>
      </c>
      <c r="N153" s="206">
        <f t="shared" si="13"/>
        <v>0.17550483181742915</v>
      </c>
      <c r="O153" s="136"/>
      <c r="P153" s="80"/>
      <c r="Q153" s="77"/>
      <c r="R153" s="77"/>
      <c r="S153" s="80"/>
      <c r="T153" s="80"/>
    </row>
    <row r="154" spans="1:20">
      <c r="A154" t="s">
        <v>1112</v>
      </c>
      <c r="B154" t="s">
        <v>1709</v>
      </c>
      <c r="C154">
        <v>42</v>
      </c>
      <c r="E154" s="69">
        <f t="shared" si="14"/>
        <v>23.809523809523807</v>
      </c>
      <c r="F154" s="70">
        <f t="shared" si="10"/>
        <v>7.3279913616026935E-5</v>
      </c>
      <c r="G154" s="70">
        <f t="shared" si="11"/>
        <v>6.979039392002565E-6</v>
      </c>
      <c r="M154" s="70">
        <f t="shared" si="12"/>
        <v>9.7497180306275826E-13</v>
      </c>
      <c r="N154" s="206">
        <f t="shared" si="13"/>
        <v>3.9279652835329384</v>
      </c>
      <c r="O154" s="136"/>
      <c r="P154" s="80"/>
      <c r="Q154" s="77"/>
      <c r="R154" s="77"/>
      <c r="S154" s="80"/>
      <c r="T154" s="80"/>
    </row>
    <row r="155" spans="1:20">
      <c r="A155" t="s">
        <v>1255</v>
      </c>
      <c r="B155" t="s">
        <v>1710</v>
      </c>
      <c r="C155">
        <v>88</v>
      </c>
      <c r="E155" s="69">
        <f t="shared" si="14"/>
        <v>11.363636363636363</v>
      </c>
      <c r="F155" s="70">
        <f t="shared" si="10"/>
        <v>3.4974504225831038E-5</v>
      </c>
      <c r="G155" s="70">
        <f t="shared" si="11"/>
        <v>3.330905164364861E-6</v>
      </c>
      <c r="M155" s="70">
        <f t="shared" si="12"/>
        <v>4.6532745146177116E-13</v>
      </c>
      <c r="N155" s="206">
        <f t="shared" si="13"/>
        <v>1.8747107035043569</v>
      </c>
      <c r="O155" s="136"/>
      <c r="P155" s="80"/>
      <c r="Q155" s="77"/>
      <c r="R155" s="77"/>
      <c r="S155" s="80"/>
      <c r="T155" s="80"/>
    </row>
    <row r="156" spans="1:20">
      <c r="A156" t="s">
        <v>1256</v>
      </c>
      <c r="B156" t="s">
        <v>1711</v>
      </c>
      <c r="C156">
        <v>1625</v>
      </c>
      <c r="E156" s="69">
        <f t="shared" si="14"/>
        <v>0.61538461538461542</v>
      </c>
      <c r="F156" s="70">
        <f t="shared" si="10"/>
        <v>1.8940039211526965E-6</v>
      </c>
      <c r="G156" s="70">
        <f t="shared" si="11"/>
        <v>1.8038132582406633E-7</v>
      </c>
      <c r="M156" s="70">
        <f t="shared" si="12"/>
        <v>2.5199271217622071E-14</v>
      </c>
      <c r="N156" s="206">
        <f t="shared" si="13"/>
        <v>0.10152279502054365</v>
      </c>
      <c r="O156" s="136"/>
      <c r="P156" s="80"/>
      <c r="Q156" s="77"/>
      <c r="R156" s="77"/>
      <c r="S156" s="80"/>
      <c r="T156" s="80"/>
    </row>
    <row r="157" spans="1:20">
      <c r="A157" t="s">
        <v>1257</v>
      </c>
      <c r="B157" t="s">
        <v>1712</v>
      </c>
      <c r="C157">
        <v>230</v>
      </c>
      <c r="E157" s="69">
        <f t="shared" si="14"/>
        <v>4.3478260869565215</v>
      </c>
      <c r="F157" s="70">
        <f t="shared" si="10"/>
        <v>1.3381549442926658E-5</v>
      </c>
      <c r="G157" s="70">
        <f t="shared" si="11"/>
        <v>1.2744332802787294E-6</v>
      </c>
      <c r="M157" s="70">
        <f t="shared" si="12"/>
        <v>1.7803832925493852E-13</v>
      </c>
      <c r="N157" s="206">
        <f t="shared" si="13"/>
        <v>0.71728061699297141</v>
      </c>
      <c r="O157" s="136"/>
      <c r="P157" s="80"/>
      <c r="Q157" s="77"/>
      <c r="R157" s="77"/>
      <c r="S157" s="80"/>
      <c r="T157" s="80"/>
    </row>
    <row r="158" spans="1:20">
      <c r="A158" t="s">
        <v>1258</v>
      </c>
      <c r="B158" t="s">
        <v>1713</v>
      </c>
      <c r="C158">
        <v>300</v>
      </c>
      <c r="E158" s="69">
        <f t="shared" si="14"/>
        <v>3.3333333333333335</v>
      </c>
      <c r="F158" s="70">
        <f t="shared" si="10"/>
        <v>1.0259187906243773E-5</v>
      </c>
      <c r="G158" s="70">
        <f t="shared" si="11"/>
        <v>9.7706551488035944E-7</v>
      </c>
      <c r="M158" s="70">
        <f t="shared" si="12"/>
        <v>1.3649605242878619E-13</v>
      </c>
      <c r="N158" s="206">
        <f t="shared" si="13"/>
        <v>0.54991513969461148</v>
      </c>
      <c r="O158" s="136"/>
      <c r="P158" s="80"/>
      <c r="Q158" s="77"/>
      <c r="R158" s="77"/>
      <c r="S158" s="80"/>
      <c r="T158" s="80"/>
    </row>
    <row r="159" spans="1:20">
      <c r="A159" t="s">
        <v>1259</v>
      </c>
      <c r="B159" t="s">
        <v>1714</v>
      </c>
      <c r="C159">
        <v>100</v>
      </c>
      <c r="D159" t="s">
        <v>1260</v>
      </c>
      <c r="E159" s="69">
        <f t="shared" si="14"/>
        <v>10</v>
      </c>
      <c r="F159" s="70">
        <f t="shared" si="10"/>
        <v>3.0777563718731315E-5</v>
      </c>
      <c r="G159" s="70">
        <f t="shared" si="11"/>
        <v>2.9311965446410779E-6</v>
      </c>
      <c r="M159" s="70">
        <f t="shared" si="12"/>
        <v>4.0948815728635861E-13</v>
      </c>
      <c r="N159" s="206">
        <f t="shared" si="13"/>
        <v>1.6497454190838341</v>
      </c>
      <c r="O159" s="136"/>
      <c r="P159" s="80"/>
      <c r="Q159" s="77"/>
      <c r="R159" s="77"/>
      <c r="S159" s="80"/>
      <c r="T159" s="80"/>
    </row>
    <row r="160" spans="1:20">
      <c r="A160" t="s">
        <v>1113</v>
      </c>
      <c r="B160" t="s">
        <v>1715</v>
      </c>
      <c r="C160">
        <v>96</v>
      </c>
      <c r="E160" s="69">
        <f t="shared" si="14"/>
        <v>10.416666666666666</v>
      </c>
      <c r="F160" s="70">
        <f t="shared" si="10"/>
        <v>3.2059962207011787E-5</v>
      </c>
      <c r="G160" s="70">
        <f t="shared" si="11"/>
        <v>3.0533297340011229E-6</v>
      </c>
      <c r="M160" s="70">
        <f t="shared" si="12"/>
        <v>4.2655016383995684E-13</v>
      </c>
      <c r="N160" s="206">
        <f t="shared" si="13"/>
        <v>1.7184848115456604</v>
      </c>
      <c r="O160" s="136"/>
      <c r="P160" s="80"/>
      <c r="Q160" s="77"/>
      <c r="R160" s="77"/>
      <c r="S160" s="80"/>
      <c r="T160" s="80"/>
    </row>
    <row r="161" spans="1:20">
      <c r="A161" s="133" t="s">
        <v>1066</v>
      </c>
      <c r="B161" t="s">
        <v>1716</v>
      </c>
      <c r="C161">
        <v>10000</v>
      </c>
      <c r="D161" t="s">
        <v>1067</v>
      </c>
      <c r="E161" s="69">
        <f t="shared" si="14"/>
        <v>0.1</v>
      </c>
      <c r="F161" s="70">
        <f t="shared" si="10"/>
        <v>3.0777563718731321E-7</v>
      </c>
      <c r="G161" s="70">
        <f t="shared" si="11"/>
        <v>2.9311965446410778E-8</v>
      </c>
      <c r="M161" s="70">
        <f t="shared" si="12"/>
        <v>4.0948815728635861E-15</v>
      </c>
      <c r="N161" s="206">
        <f t="shared" si="13"/>
        <v>1.6497454190838343E-2</v>
      </c>
      <c r="O161" s="136"/>
      <c r="P161" s="80"/>
      <c r="Q161" s="77"/>
      <c r="R161" s="77"/>
      <c r="S161" s="80"/>
      <c r="T161" s="80"/>
    </row>
    <row r="162" spans="1:20">
      <c r="A162" t="s">
        <v>1261</v>
      </c>
      <c r="B162" t="s">
        <v>1717</v>
      </c>
      <c r="C162">
        <v>1690</v>
      </c>
      <c r="E162" s="69">
        <f t="shared" si="14"/>
        <v>0.59171597633136097</v>
      </c>
      <c r="F162" s="70">
        <f t="shared" si="10"/>
        <v>1.8211576164929772E-6</v>
      </c>
      <c r="G162" s="70">
        <f t="shared" si="11"/>
        <v>1.734435825231407E-7</v>
      </c>
      <c r="M162" s="70">
        <f t="shared" si="12"/>
        <v>2.4230068478482757E-14</v>
      </c>
      <c r="N162" s="206">
        <f t="shared" si="13"/>
        <v>9.7618072135138109E-2</v>
      </c>
      <c r="O162" s="136"/>
      <c r="P162" s="80"/>
      <c r="Q162" s="77"/>
      <c r="R162" s="77"/>
      <c r="S162" s="80"/>
      <c r="T162" s="80"/>
    </row>
    <row r="163" spans="1:20">
      <c r="A163" t="s">
        <v>1262</v>
      </c>
      <c r="B163" t="s">
        <v>1718</v>
      </c>
      <c r="C163">
        <v>1200</v>
      </c>
      <c r="E163" s="69">
        <f t="shared" si="14"/>
        <v>0.83333333333333337</v>
      </c>
      <c r="F163" s="70">
        <f t="shared" si="10"/>
        <v>2.5647969765609434E-6</v>
      </c>
      <c r="G163" s="70">
        <f t="shared" si="11"/>
        <v>2.4426637872008986E-7</v>
      </c>
      <c r="M163" s="70">
        <f t="shared" si="12"/>
        <v>3.4124013107196548E-14</v>
      </c>
      <c r="N163" s="206">
        <f t="shared" si="13"/>
        <v>0.13747878492365287</v>
      </c>
      <c r="O163" s="136"/>
      <c r="P163" s="80"/>
      <c r="Q163" s="77"/>
      <c r="R163" s="77"/>
      <c r="S163" s="80"/>
      <c r="T163" s="80"/>
    </row>
    <row r="164" spans="1:20">
      <c r="A164" t="s">
        <v>1263</v>
      </c>
      <c r="B164" t="s">
        <v>1719</v>
      </c>
      <c r="C164">
        <v>227</v>
      </c>
      <c r="E164" s="69">
        <f t="shared" si="14"/>
        <v>4.4052863436123353</v>
      </c>
      <c r="F164" s="70">
        <f t="shared" si="10"/>
        <v>1.3558398113978556E-5</v>
      </c>
      <c r="G164" s="70">
        <f t="shared" si="11"/>
        <v>1.2912760108551006E-6</v>
      </c>
      <c r="M164" s="70">
        <f t="shared" si="12"/>
        <v>1.8039125871645755E-13</v>
      </c>
      <c r="N164" s="206">
        <f t="shared" si="13"/>
        <v>0.72676009651270246</v>
      </c>
      <c r="O164" s="136"/>
      <c r="P164" s="80"/>
      <c r="Q164" s="77"/>
      <c r="R164" s="77"/>
      <c r="S164" s="80"/>
      <c r="T164" s="80"/>
    </row>
    <row r="165" spans="1:20">
      <c r="A165" t="s">
        <v>1264</v>
      </c>
      <c r="B165" t="s">
        <v>1265</v>
      </c>
      <c r="C165">
        <v>450</v>
      </c>
      <c r="E165" s="69">
        <f t="shared" si="14"/>
        <v>2.2222222222222223</v>
      </c>
      <c r="F165" s="70">
        <f t="shared" si="10"/>
        <v>6.8394586041625148E-6</v>
      </c>
      <c r="G165" s="70">
        <f t="shared" si="11"/>
        <v>6.5137700992023952E-7</v>
      </c>
      <c r="M165" s="70">
        <f t="shared" si="12"/>
        <v>9.0997368285857467E-14</v>
      </c>
      <c r="N165" s="206">
        <f t="shared" si="13"/>
        <v>0.36661009312974097</v>
      </c>
      <c r="O165" s="136"/>
      <c r="P165" s="80"/>
      <c r="Q165" s="77"/>
      <c r="R165" s="77"/>
      <c r="S165" s="80"/>
      <c r="T165" s="80"/>
    </row>
    <row r="166" spans="1:20">
      <c r="A166" t="s">
        <v>1266</v>
      </c>
      <c r="B166" t="s">
        <v>1720</v>
      </c>
      <c r="C166">
        <v>300</v>
      </c>
      <c r="E166" s="69">
        <f t="shared" si="14"/>
        <v>3.3333333333333335</v>
      </c>
      <c r="F166" s="70">
        <f t="shared" si="10"/>
        <v>1.0259187906243773E-5</v>
      </c>
      <c r="G166" s="70">
        <f t="shared" si="11"/>
        <v>9.7706551488035944E-7</v>
      </c>
      <c r="M166" s="70">
        <f t="shared" si="12"/>
        <v>1.3649605242878619E-13</v>
      </c>
      <c r="N166" s="206">
        <f t="shared" si="13"/>
        <v>0.54991513969461148</v>
      </c>
      <c r="O166" s="136"/>
      <c r="P166" s="80"/>
      <c r="Q166" s="77"/>
      <c r="R166" s="77"/>
      <c r="S166" s="80"/>
      <c r="T166" s="80"/>
    </row>
    <row r="167" spans="1:20">
      <c r="A167" t="s">
        <v>1267</v>
      </c>
      <c r="B167" t="s">
        <v>1268</v>
      </c>
      <c r="C167">
        <v>268</v>
      </c>
      <c r="E167" s="69">
        <f t="shared" si="14"/>
        <v>3.7313432835820897</v>
      </c>
      <c r="F167" s="70">
        <f t="shared" si="10"/>
        <v>1.148416556669079E-5</v>
      </c>
      <c r="G167" s="70">
        <f t="shared" si="11"/>
        <v>1.0937300539705514E-6</v>
      </c>
      <c r="M167" s="70">
        <f t="shared" si="12"/>
        <v>1.5279408853968604E-13</v>
      </c>
      <c r="N167" s="206">
        <f t="shared" si="13"/>
        <v>0.61557664891187835</v>
      </c>
      <c r="O167" s="136"/>
      <c r="P167" s="80"/>
      <c r="Q167" s="77"/>
      <c r="R167" s="77"/>
      <c r="S167" s="80"/>
      <c r="T167" s="80"/>
    </row>
    <row r="168" spans="1:20">
      <c r="A168" t="s">
        <v>1269</v>
      </c>
      <c r="B168" t="s">
        <v>1721</v>
      </c>
      <c r="C168">
        <v>110</v>
      </c>
      <c r="E168" s="69">
        <f t="shared" si="14"/>
        <v>9.0909090909090899</v>
      </c>
      <c r="F168" s="70">
        <f t="shared" si="10"/>
        <v>2.797960338066483E-5</v>
      </c>
      <c r="G168" s="70">
        <f t="shared" si="11"/>
        <v>2.6647241314918886E-6</v>
      </c>
      <c r="M168" s="70">
        <f t="shared" si="12"/>
        <v>3.7226196116941687E-13</v>
      </c>
      <c r="N168" s="206">
        <f t="shared" si="13"/>
        <v>1.4997685628034856</v>
      </c>
      <c r="O168" s="136"/>
      <c r="P168" s="80"/>
      <c r="Q168" s="77"/>
      <c r="R168" s="77"/>
      <c r="S168" s="80"/>
      <c r="T168" s="80"/>
    </row>
    <row r="169" spans="1:20">
      <c r="A169" t="s">
        <v>1270</v>
      </c>
      <c r="B169" t="s">
        <v>1722</v>
      </c>
      <c r="C169">
        <v>390</v>
      </c>
      <c r="E169" s="69">
        <f t="shared" si="14"/>
        <v>2.5641025641025643</v>
      </c>
      <c r="F169" s="70">
        <f t="shared" si="10"/>
        <v>7.8916830048029016E-6</v>
      </c>
      <c r="G169" s="70">
        <f t="shared" si="11"/>
        <v>7.5158885760027632E-7</v>
      </c>
      <c r="M169" s="70">
        <f t="shared" si="12"/>
        <v>1.0499696340675862E-13</v>
      </c>
      <c r="N169" s="206">
        <f t="shared" si="13"/>
        <v>0.42301164591893187</v>
      </c>
      <c r="O169" s="136"/>
      <c r="P169" s="80"/>
      <c r="Q169" s="77"/>
      <c r="R169" s="77"/>
      <c r="S169" s="80"/>
      <c r="T169" s="80"/>
    </row>
    <row r="170" spans="1:20">
      <c r="A170" t="s">
        <v>1271</v>
      </c>
      <c r="B170" t="s">
        <v>1723</v>
      </c>
      <c r="C170">
        <v>600</v>
      </c>
      <c r="E170" s="69">
        <f t="shared" si="14"/>
        <v>1.6666666666666667</v>
      </c>
      <c r="F170" s="70">
        <f t="shared" si="10"/>
        <v>5.1295939531218867E-6</v>
      </c>
      <c r="G170" s="70">
        <f t="shared" si="11"/>
        <v>4.8853275744017972E-7</v>
      </c>
      <c r="M170" s="70">
        <f t="shared" si="12"/>
        <v>6.8248026214393097E-14</v>
      </c>
      <c r="N170" s="206">
        <f t="shared" si="13"/>
        <v>0.27495756984730574</v>
      </c>
      <c r="O170" s="136"/>
      <c r="P170" s="80"/>
      <c r="Q170" s="77"/>
      <c r="R170" s="77"/>
      <c r="S170" s="80"/>
      <c r="T170" s="80"/>
    </row>
    <row r="171" spans="1:20">
      <c r="A171" t="s">
        <v>1272</v>
      </c>
      <c r="B171" t="s">
        <v>1724</v>
      </c>
      <c r="C171">
        <v>403</v>
      </c>
      <c r="E171" s="69">
        <f t="shared" si="14"/>
        <v>2.4813895781637716</v>
      </c>
      <c r="F171" s="70">
        <f t="shared" si="10"/>
        <v>7.6371125852931305E-6</v>
      </c>
      <c r="G171" s="70">
        <f t="shared" si="11"/>
        <v>7.2734405574220282E-7</v>
      </c>
      <c r="M171" s="70">
        <f t="shared" si="12"/>
        <v>1.0160996458718575E-13</v>
      </c>
      <c r="N171" s="206">
        <f t="shared" si="13"/>
        <v>0.40936610895380504</v>
      </c>
      <c r="O171" s="136"/>
      <c r="P171" s="80"/>
      <c r="Q171" s="77"/>
      <c r="R171" s="77"/>
      <c r="S171" s="80"/>
      <c r="T171" s="80"/>
    </row>
    <row r="172" spans="1:20">
      <c r="A172" t="s">
        <v>1273</v>
      </c>
      <c r="B172" t="s">
        <v>1725</v>
      </c>
      <c r="C172">
        <v>1190</v>
      </c>
      <c r="E172" s="69">
        <f t="shared" si="14"/>
        <v>0.84033613445378152</v>
      </c>
      <c r="F172" s="70">
        <f t="shared" si="10"/>
        <v>2.5863498923303626E-6</v>
      </c>
      <c r="G172" s="70">
        <f t="shared" si="11"/>
        <v>2.4631903736479644E-7</v>
      </c>
      <c r="M172" s="70">
        <f t="shared" si="12"/>
        <v>3.4410769519862071E-14</v>
      </c>
      <c r="N172" s="206">
        <f t="shared" si="13"/>
        <v>0.1386340688305743</v>
      </c>
      <c r="O172" s="136"/>
      <c r="P172" s="80"/>
      <c r="Q172" s="77"/>
      <c r="R172" s="77"/>
      <c r="S172" s="80"/>
      <c r="T172" s="80"/>
    </row>
    <row r="173" spans="1:20">
      <c r="A173" t="s">
        <v>1274</v>
      </c>
      <c r="B173" t="s">
        <v>1726</v>
      </c>
      <c r="C173">
        <v>1800</v>
      </c>
      <c r="E173" s="69">
        <f t="shared" si="14"/>
        <v>0.55555555555555558</v>
      </c>
      <c r="F173" s="70">
        <f t="shared" si="10"/>
        <v>1.7098646510406287E-6</v>
      </c>
      <c r="G173" s="70">
        <f t="shared" si="11"/>
        <v>1.6284425248005988E-7</v>
      </c>
      <c r="M173" s="70">
        <f t="shared" si="12"/>
        <v>2.2749342071464367E-14</v>
      </c>
      <c r="N173" s="206">
        <f t="shared" si="13"/>
        <v>9.1652523282435241E-2</v>
      </c>
      <c r="O173" s="136"/>
      <c r="P173" s="80"/>
      <c r="Q173" s="77"/>
      <c r="R173" s="77"/>
      <c r="S173" s="80"/>
      <c r="T173" s="80"/>
    </row>
    <row r="174" spans="1:20">
      <c r="A174" t="s">
        <v>1275</v>
      </c>
      <c r="B174" t="s">
        <v>1727</v>
      </c>
      <c r="C174">
        <v>630</v>
      </c>
      <c r="E174" s="69">
        <f t="shared" si="14"/>
        <v>1.5873015873015872</v>
      </c>
      <c r="F174" s="70">
        <f t="shared" si="10"/>
        <v>4.8853275744017959E-6</v>
      </c>
      <c r="G174" s="70">
        <f t="shared" si="11"/>
        <v>4.6526929280017102E-7</v>
      </c>
      <c r="M174" s="70">
        <f t="shared" si="12"/>
        <v>6.4998120204183896E-14</v>
      </c>
      <c r="N174" s="206">
        <f t="shared" si="13"/>
        <v>0.26186435223552923</v>
      </c>
      <c r="O174" s="136"/>
      <c r="P174" s="80"/>
      <c r="Q174" s="77"/>
      <c r="R174" s="77"/>
      <c r="S174" s="80"/>
      <c r="T174" s="80"/>
    </row>
    <row r="175" spans="1:20">
      <c r="A175" t="s">
        <v>1114</v>
      </c>
      <c r="B175" t="s">
        <v>1728</v>
      </c>
      <c r="C175">
        <v>112</v>
      </c>
      <c r="E175" s="69">
        <f t="shared" si="14"/>
        <v>8.9285714285714288</v>
      </c>
      <c r="F175" s="70">
        <f t="shared" si="10"/>
        <v>2.7479967606010106E-5</v>
      </c>
      <c r="G175" s="70">
        <f t="shared" si="11"/>
        <v>2.6171397720009624E-6</v>
      </c>
      <c r="M175" s="70">
        <f t="shared" si="12"/>
        <v>3.656144261485345E-13</v>
      </c>
      <c r="N175" s="206">
        <f t="shared" si="13"/>
        <v>1.4729869813248522</v>
      </c>
      <c r="O175" s="136"/>
      <c r="P175" s="80"/>
      <c r="Q175" s="77"/>
      <c r="R175" s="77"/>
      <c r="S175" s="80"/>
      <c r="T175" s="80"/>
    </row>
    <row r="176" spans="1:20">
      <c r="A176" t="s">
        <v>641</v>
      </c>
      <c r="B176" s="52" t="s">
        <v>1560</v>
      </c>
      <c r="C176">
        <v>56</v>
      </c>
      <c r="E176" s="69">
        <f t="shared" si="14"/>
        <v>17.857142857142858</v>
      </c>
      <c r="F176" s="70">
        <f t="shared" si="10"/>
        <v>5.4959935212020212E-5</v>
      </c>
      <c r="G176" s="70">
        <f t="shared" si="11"/>
        <v>5.2342795440019248E-6</v>
      </c>
      <c r="M176" s="70">
        <f t="shared" si="12"/>
        <v>7.31228852297069E-13</v>
      </c>
      <c r="N176" s="206">
        <f t="shared" si="13"/>
        <v>2.9459739626497043</v>
      </c>
      <c r="O176" s="136"/>
      <c r="P176" s="80"/>
      <c r="Q176" s="77"/>
      <c r="R176" s="77"/>
      <c r="S176" s="80"/>
      <c r="T176" s="80"/>
    </row>
    <row r="177" spans="1:20">
      <c r="A177" s="45" t="s">
        <v>1115</v>
      </c>
      <c r="B177" t="s">
        <v>1729</v>
      </c>
      <c r="C177">
        <v>10</v>
      </c>
      <c r="D177" t="s">
        <v>1090</v>
      </c>
      <c r="E177" s="69">
        <f t="shared" si="14"/>
        <v>100</v>
      </c>
      <c r="F177" s="70">
        <f t="shared" si="10"/>
        <v>3.0777563718731315E-4</v>
      </c>
      <c r="G177" s="70">
        <f t="shared" si="11"/>
        <v>2.9311965446410776E-5</v>
      </c>
      <c r="M177" s="70">
        <f t="shared" si="12"/>
        <v>4.0948815728635857E-12</v>
      </c>
      <c r="N177" s="206">
        <f t="shared" si="13"/>
        <v>16.497454190838344</v>
      </c>
      <c r="O177" s="136"/>
      <c r="P177" s="80"/>
      <c r="Q177" s="77"/>
      <c r="R177" s="77"/>
      <c r="S177" s="80"/>
      <c r="T177" s="80"/>
    </row>
    <row r="178" spans="1:20">
      <c r="A178" t="s">
        <v>1276</v>
      </c>
      <c r="B178" t="s">
        <v>1730</v>
      </c>
      <c r="C178">
        <v>700</v>
      </c>
      <c r="D178" t="s">
        <v>1277</v>
      </c>
      <c r="E178" s="69">
        <f t="shared" si="14"/>
        <v>1.4285714285714286</v>
      </c>
      <c r="F178" s="70">
        <f t="shared" si="10"/>
        <v>4.3967948169616168E-6</v>
      </c>
      <c r="G178" s="70">
        <f t="shared" si="11"/>
        <v>4.1874236352015398E-7</v>
      </c>
      <c r="M178" s="70">
        <f t="shared" si="12"/>
        <v>5.8498308183765519E-14</v>
      </c>
      <c r="N178" s="206">
        <f t="shared" si="13"/>
        <v>0.23567791701197632</v>
      </c>
      <c r="O178" s="136"/>
      <c r="P178" s="80"/>
      <c r="Q178" s="77"/>
      <c r="R178" s="77"/>
      <c r="S178" s="80"/>
      <c r="T178" s="80"/>
    </row>
    <row r="179" spans="1:20">
      <c r="A179" t="s">
        <v>1278</v>
      </c>
      <c r="B179" t="s">
        <v>1731</v>
      </c>
      <c r="C179">
        <v>790</v>
      </c>
      <c r="E179" s="69">
        <f t="shared" si="14"/>
        <v>1.2658227848101267</v>
      </c>
      <c r="F179" s="70">
        <f t="shared" si="10"/>
        <v>3.8958941416115596E-6</v>
      </c>
      <c r="G179" s="70">
        <f t="shared" si="11"/>
        <v>3.7103753729633901E-7</v>
      </c>
      <c r="M179" s="70">
        <f t="shared" si="12"/>
        <v>5.1833943960298557E-14</v>
      </c>
      <c r="N179" s="206">
        <f t="shared" si="13"/>
        <v>0.20882853406124485</v>
      </c>
      <c r="O179" s="136"/>
      <c r="P179" s="80"/>
      <c r="Q179" s="77"/>
      <c r="R179" s="77"/>
      <c r="S179" s="80"/>
      <c r="T179" s="80"/>
    </row>
    <row r="180" spans="1:20">
      <c r="A180" t="s">
        <v>1279</v>
      </c>
      <c r="B180" t="s">
        <v>1732</v>
      </c>
      <c r="C180">
        <v>680</v>
      </c>
      <c r="E180" s="69">
        <f t="shared" si="14"/>
        <v>1.4705882352941175</v>
      </c>
      <c r="F180" s="70">
        <f t="shared" si="10"/>
        <v>4.5261123115781339E-6</v>
      </c>
      <c r="G180" s="70">
        <f t="shared" si="11"/>
        <v>4.310583153883938E-7</v>
      </c>
      <c r="M180" s="70">
        <f t="shared" si="12"/>
        <v>6.0218846659758606E-14</v>
      </c>
      <c r="N180" s="206">
        <f t="shared" si="13"/>
        <v>0.24260962045350498</v>
      </c>
      <c r="O180" s="136"/>
      <c r="P180" s="80"/>
      <c r="Q180" s="77"/>
      <c r="R180" s="77"/>
      <c r="S180" s="80"/>
      <c r="T180" s="80"/>
    </row>
    <row r="181" spans="1:20">
      <c r="A181" t="s">
        <v>1116</v>
      </c>
      <c r="B181" t="s">
        <v>1733</v>
      </c>
      <c r="C181">
        <v>36</v>
      </c>
      <c r="E181" s="69">
        <f t="shared" si="14"/>
        <v>27.777777777777775</v>
      </c>
      <c r="F181" s="70">
        <f t="shared" si="10"/>
        <v>8.5493232552031427E-5</v>
      </c>
      <c r="G181" s="70">
        <f t="shared" si="11"/>
        <v>8.1422126240029932E-6</v>
      </c>
      <c r="M181" s="70">
        <f t="shared" si="12"/>
        <v>1.1374671035732182E-12</v>
      </c>
      <c r="N181" s="206">
        <f t="shared" si="13"/>
        <v>4.5826261641217618</v>
      </c>
      <c r="O181" s="136"/>
      <c r="P181" s="80"/>
      <c r="Q181" s="77"/>
      <c r="R181" s="77"/>
      <c r="S181" s="80"/>
      <c r="T181" s="80"/>
    </row>
    <row r="182" spans="1:20">
      <c r="A182" t="s">
        <v>1280</v>
      </c>
      <c r="B182" t="s">
        <v>1734</v>
      </c>
      <c r="C182">
        <v>930</v>
      </c>
      <c r="E182" s="69">
        <f t="shared" si="14"/>
        <v>1.075268817204301</v>
      </c>
      <c r="F182" s="70">
        <f t="shared" si="10"/>
        <v>3.3094154536270234E-6</v>
      </c>
      <c r="G182" s="70">
        <f t="shared" si="11"/>
        <v>3.1518242415495457E-7</v>
      </c>
      <c r="M182" s="70">
        <f t="shared" si="12"/>
        <v>4.4030984654447157E-14</v>
      </c>
      <c r="N182" s="206">
        <f t="shared" si="13"/>
        <v>0.17739198054664884</v>
      </c>
      <c r="O182" s="136"/>
      <c r="P182" s="80"/>
      <c r="Q182" s="77"/>
      <c r="R182" s="77"/>
      <c r="S182" s="80"/>
      <c r="T182" s="80"/>
    </row>
    <row r="183" spans="1:20">
      <c r="A183" t="s">
        <v>1281</v>
      </c>
      <c r="B183" t="s">
        <v>1735</v>
      </c>
      <c r="C183">
        <v>1050</v>
      </c>
      <c r="E183" s="69">
        <f t="shared" si="14"/>
        <v>0.95238095238095233</v>
      </c>
      <c r="F183" s="70">
        <f t="shared" si="10"/>
        <v>2.9311965446410779E-6</v>
      </c>
      <c r="G183" s="70">
        <f t="shared" si="11"/>
        <v>2.7916157568010262E-7</v>
      </c>
      <c r="M183" s="70">
        <f t="shared" si="12"/>
        <v>3.8998872122510337E-14</v>
      </c>
      <c r="N183" s="206">
        <f t="shared" si="13"/>
        <v>0.15711861134131758</v>
      </c>
      <c r="O183" s="136"/>
      <c r="P183" s="80"/>
      <c r="Q183" s="77"/>
      <c r="R183" s="77"/>
      <c r="S183" s="80"/>
      <c r="T183" s="80"/>
    </row>
    <row r="184" spans="1:20">
      <c r="A184" t="s">
        <v>1282</v>
      </c>
      <c r="B184" t="s">
        <v>1736</v>
      </c>
      <c r="C184">
        <v>1920</v>
      </c>
      <c r="E184" s="69">
        <f t="shared" si="14"/>
        <v>0.52083333333333337</v>
      </c>
      <c r="F184" s="70">
        <f t="shared" si="10"/>
        <v>1.6029981103505896E-6</v>
      </c>
      <c r="G184" s="70">
        <f t="shared" si="11"/>
        <v>1.5266648670005615E-7</v>
      </c>
      <c r="M184" s="70">
        <f t="shared" si="12"/>
        <v>2.1327508191997842E-14</v>
      </c>
      <c r="N184" s="206">
        <f t="shared" si="13"/>
        <v>8.592424057728304E-2</v>
      </c>
      <c r="O184" s="136"/>
      <c r="P184" s="80"/>
      <c r="Q184" s="77"/>
      <c r="R184" s="77"/>
      <c r="S184" s="80"/>
      <c r="T184" s="80"/>
    </row>
    <row r="185" spans="1:20">
      <c r="A185" t="s">
        <v>1283</v>
      </c>
      <c r="B185" t="s">
        <v>1737</v>
      </c>
      <c r="C185">
        <v>1490</v>
      </c>
      <c r="E185" s="69">
        <f t="shared" si="14"/>
        <v>0.67114093959731536</v>
      </c>
      <c r="F185" s="70">
        <f t="shared" si="10"/>
        <v>2.0656083032705579E-6</v>
      </c>
      <c r="G185" s="70">
        <f t="shared" si="11"/>
        <v>1.9672460031148169E-7</v>
      </c>
      <c r="M185" s="70">
        <f t="shared" si="12"/>
        <v>2.7482426663513998E-14</v>
      </c>
      <c r="N185" s="206">
        <f t="shared" si="13"/>
        <v>0.11072116906602913</v>
      </c>
      <c r="O185" s="136"/>
      <c r="P185" s="80"/>
      <c r="Q185" s="77"/>
      <c r="R185" s="77"/>
      <c r="S185" s="80"/>
      <c r="T185" s="80"/>
    </row>
    <row r="186" spans="1:20">
      <c r="A186" t="s">
        <v>1068</v>
      </c>
      <c r="B186" t="s">
        <v>1738</v>
      </c>
      <c r="C186">
        <v>1</v>
      </c>
      <c r="E186" s="69">
        <f t="shared" si="14"/>
        <v>1000</v>
      </c>
      <c r="F186" s="70">
        <f t="shared" si="10"/>
        <v>3.0777563718731317E-3</v>
      </c>
      <c r="G186" s="70">
        <f t="shared" si="11"/>
        <v>2.9311965446410774E-4</v>
      </c>
      <c r="M186" s="70">
        <f t="shared" si="12"/>
        <v>4.0948815728635858E-11</v>
      </c>
      <c r="N186" s="206">
        <f t="shared" si="13"/>
        <v>164.97454190838343</v>
      </c>
      <c r="O186" s="136"/>
      <c r="P186" s="80"/>
      <c r="Q186" s="77"/>
      <c r="R186" s="77"/>
      <c r="S186" s="80"/>
      <c r="T186" s="80"/>
    </row>
    <row r="187" spans="1:20">
      <c r="A187" t="s">
        <v>1117</v>
      </c>
      <c r="B187" t="s">
        <v>1739</v>
      </c>
      <c r="C187">
        <v>18</v>
      </c>
      <c r="E187" s="69">
        <f t="shared" si="14"/>
        <v>55.55555555555555</v>
      </c>
      <c r="F187" s="70">
        <f t="shared" si="10"/>
        <v>1.7098646510406285E-4</v>
      </c>
      <c r="G187" s="70">
        <f t="shared" si="11"/>
        <v>1.6284425248005986E-5</v>
      </c>
      <c r="M187" s="70">
        <f t="shared" si="12"/>
        <v>2.2749342071464365E-12</v>
      </c>
      <c r="N187" s="206">
        <f t="shared" si="13"/>
        <v>9.1652523282435236</v>
      </c>
      <c r="O187" s="136"/>
      <c r="P187" s="80"/>
      <c r="Q187" s="77"/>
      <c r="R187" s="77"/>
      <c r="S187" s="80"/>
      <c r="T187" s="80"/>
    </row>
    <row r="188" spans="1:20">
      <c r="A188" t="s">
        <v>1284</v>
      </c>
      <c r="B188" t="s">
        <v>1740</v>
      </c>
      <c r="C188">
        <v>210</v>
      </c>
      <c r="E188" s="69">
        <f t="shared" si="14"/>
        <v>4.7619047619047628</v>
      </c>
      <c r="F188" s="70">
        <f t="shared" si="10"/>
        <v>1.4655982723205391E-5</v>
      </c>
      <c r="G188" s="70">
        <f t="shared" si="11"/>
        <v>1.3958078784005134E-6</v>
      </c>
      <c r="M188" s="70">
        <f t="shared" si="12"/>
        <v>1.9499436061255174E-13</v>
      </c>
      <c r="N188" s="206">
        <f t="shared" si="13"/>
        <v>0.78559305670658786</v>
      </c>
      <c r="O188" s="136"/>
      <c r="P188" s="80"/>
      <c r="Q188" s="77"/>
      <c r="R188" s="77"/>
      <c r="S188" s="80"/>
      <c r="T188" s="80"/>
    </row>
    <row r="189" spans="1:20">
      <c r="A189" t="s">
        <v>1285</v>
      </c>
      <c r="B189" t="s">
        <v>1741</v>
      </c>
      <c r="C189">
        <v>670</v>
      </c>
      <c r="E189" s="69">
        <f t="shared" si="14"/>
        <v>1.4925373134328359</v>
      </c>
      <c r="F189" s="70">
        <f t="shared" si="10"/>
        <v>4.5936662266763158E-6</v>
      </c>
      <c r="G189" s="70">
        <f t="shared" si="11"/>
        <v>4.3749202158822061E-7</v>
      </c>
      <c r="M189" s="70">
        <f t="shared" si="12"/>
        <v>6.1117635415874417E-14</v>
      </c>
      <c r="N189" s="206">
        <f t="shared" si="13"/>
        <v>0.24623065956475138</v>
      </c>
      <c r="O189" s="136"/>
      <c r="P189" s="80"/>
      <c r="Q189" s="77"/>
      <c r="R189" s="77"/>
      <c r="S189" s="80"/>
      <c r="T189" s="80"/>
    </row>
    <row r="190" spans="1:20">
      <c r="A190" t="s">
        <v>1286</v>
      </c>
      <c r="B190" t="s">
        <v>1742</v>
      </c>
      <c r="C190">
        <v>227</v>
      </c>
      <c r="E190" s="69">
        <f t="shared" si="14"/>
        <v>4.4052863436123353</v>
      </c>
      <c r="F190" s="70">
        <f t="shared" si="10"/>
        <v>1.3558398113978556E-5</v>
      </c>
      <c r="G190" s="70">
        <f t="shared" si="11"/>
        <v>1.2912760108551006E-6</v>
      </c>
      <c r="M190" s="70">
        <f t="shared" si="12"/>
        <v>1.8039125871645755E-13</v>
      </c>
      <c r="N190" s="206">
        <f t="shared" si="13"/>
        <v>0.72676009651270246</v>
      </c>
      <c r="O190" s="136"/>
      <c r="P190" s="80"/>
      <c r="Q190" s="77"/>
      <c r="R190" s="77"/>
      <c r="S190" s="80"/>
      <c r="T190" s="80"/>
    </row>
    <row r="191" spans="1:20">
      <c r="A191" t="s">
        <v>1287</v>
      </c>
      <c r="B191" t="s">
        <v>1743</v>
      </c>
      <c r="C191">
        <v>1183</v>
      </c>
      <c r="E191" s="69">
        <f t="shared" si="14"/>
        <v>0.84530853761622993</v>
      </c>
      <c r="F191" s="70">
        <f t="shared" si="10"/>
        <v>2.6016537378471107E-6</v>
      </c>
      <c r="G191" s="70">
        <f t="shared" si="11"/>
        <v>2.477765464616296E-7</v>
      </c>
      <c r="M191" s="70">
        <f t="shared" si="12"/>
        <v>3.4614383540689654E-14</v>
      </c>
      <c r="N191" s="206">
        <f t="shared" si="13"/>
        <v>0.13945438876448302</v>
      </c>
      <c r="O191" s="136"/>
      <c r="P191" s="80"/>
      <c r="Q191" s="77"/>
      <c r="R191" s="77"/>
      <c r="S191" s="80"/>
      <c r="T191" s="80"/>
    </row>
    <row r="192" spans="1:20">
      <c r="A192" t="s">
        <v>1288</v>
      </c>
      <c r="B192" t="s">
        <v>1744</v>
      </c>
      <c r="C192">
        <v>285</v>
      </c>
      <c r="E192" s="69">
        <f t="shared" si="14"/>
        <v>3.5087719298245617</v>
      </c>
      <c r="F192" s="70">
        <f t="shared" si="10"/>
        <v>1.079914516446713E-5</v>
      </c>
      <c r="G192" s="70">
        <f t="shared" si="11"/>
        <v>1.028490015663536E-6</v>
      </c>
      <c r="M192" s="70">
        <f t="shared" si="12"/>
        <v>1.4368005518819601E-13</v>
      </c>
      <c r="N192" s="206">
        <f t="shared" si="13"/>
        <v>0.57885804178380162</v>
      </c>
      <c r="O192" s="136"/>
      <c r="P192" s="80"/>
      <c r="Q192" s="77"/>
      <c r="R192" s="77"/>
      <c r="S192" s="80"/>
      <c r="T192" s="80"/>
    </row>
    <row r="193" spans="1:20">
      <c r="A193" t="s">
        <v>1289</v>
      </c>
      <c r="B193" t="s">
        <v>1745</v>
      </c>
      <c r="C193">
        <v>660</v>
      </c>
      <c r="E193" s="69">
        <f t="shared" si="14"/>
        <v>1.5151515151515151</v>
      </c>
      <c r="F193" s="70">
        <f t="shared" si="10"/>
        <v>4.6632672301108053E-6</v>
      </c>
      <c r="G193" s="70">
        <f t="shared" si="11"/>
        <v>4.4412068858198151E-7</v>
      </c>
      <c r="M193" s="70">
        <f t="shared" si="12"/>
        <v>6.204366019490282E-14</v>
      </c>
      <c r="N193" s="206">
        <f t="shared" si="13"/>
        <v>0.24996142713391428</v>
      </c>
      <c r="O193" s="136"/>
      <c r="P193" s="80"/>
      <c r="Q193" s="77"/>
      <c r="R193" s="77"/>
      <c r="S193" s="80"/>
      <c r="T193" s="80"/>
    </row>
    <row r="194" spans="1:20">
      <c r="A194" t="s">
        <v>1290</v>
      </c>
      <c r="B194" t="s">
        <v>1746</v>
      </c>
      <c r="C194">
        <v>678</v>
      </c>
      <c r="E194" s="69">
        <f t="shared" si="14"/>
        <v>1.4749262536873156</v>
      </c>
      <c r="F194" s="70">
        <f t="shared" ref="F194:F257" si="15">18000/2360000000*35*E194/averagepesticidepotency</f>
        <v>4.5394636753291027E-6</v>
      </c>
      <c r="G194" s="70">
        <f t="shared" ref="G194:G257" si="16">3000000*0.02/2360000000*E194/averagepesticidepotency</f>
        <v>4.3232987384086694E-7</v>
      </c>
      <c r="M194" s="70">
        <f t="shared" ref="M194:M257" si="17">0.008382/2360000000*E194/averagepesticidepotency</f>
        <v>6.0396483375569112E-14</v>
      </c>
      <c r="N194" s="206">
        <f t="shared" ref="N194:N257" si="18">F194*YOLLvalue+G194*poisoningvalue+H194*As_orevalue+I194*Cu_orevalue+J194*Hg_orevalue+K194*Pb_orevalue+L194*Zn_orevalue+M194*speciesvalue</f>
        <v>0.24332528305071302</v>
      </c>
      <c r="O194" s="136"/>
      <c r="P194" s="80"/>
      <c r="Q194" s="77"/>
      <c r="R194" s="77"/>
      <c r="S194" s="80"/>
      <c r="T194" s="80"/>
    </row>
    <row r="195" spans="1:20">
      <c r="A195" t="s">
        <v>1118</v>
      </c>
      <c r="B195" t="s">
        <v>1747</v>
      </c>
      <c r="C195">
        <v>30</v>
      </c>
      <c r="E195" s="69">
        <f t="shared" ref="E195:E258" si="19">1/C195*1000</f>
        <v>33.333333333333336</v>
      </c>
      <c r="F195" s="70">
        <f t="shared" si="15"/>
        <v>1.0259187906243773E-4</v>
      </c>
      <c r="G195" s="70">
        <f t="shared" si="16"/>
        <v>9.7706551488035935E-6</v>
      </c>
      <c r="M195" s="70">
        <f t="shared" si="17"/>
        <v>1.3649605242878619E-12</v>
      </c>
      <c r="N195" s="206">
        <f t="shared" si="18"/>
        <v>5.4991513969461145</v>
      </c>
      <c r="O195" s="136"/>
      <c r="P195" s="80"/>
      <c r="Q195" s="77"/>
      <c r="R195" s="77"/>
      <c r="S195" s="80"/>
      <c r="T195" s="80"/>
    </row>
    <row r="196" spans="1:20">
      <c r="A196" t="s">
        <v>1291</v>
      </c>
      <c r="B196" t="s">
        <v>1748</v>
      </c>
      <c r="C196">
        <v>112</v>
      </c>
      <c r="E196" s="69">
        <f t="shared" si="19"/>
        <v>8.9285714285714288</v>
      </c>
      <c r="F196" s="70">
        <f t="shared" si="15"/>
        <v>2.7479967606010106E-5</v>
      </c>
      <c r="G196" s="70">
        <f t="shared" si="16"/>
        <v>2.6171397720009624E-6</v>
      </c>
      <c r="M196" s="70">
        <f t="shared" si="17"/>
        <v>3.656144261485345E-13</v>
      </c>
      <c r="N196" s="206">
        <f t="shared" si="18"/>
        <v>1.4729869813248522</v>
      </c>
      <c r="O196" s="136"/>
      <c r="P196" s="80"/>
      <c r="Q196" s="77"/>
      <c r="R196" s="77"/>
      <c r="S196" s="80"/>
      <c r="T196" s="80"/>
    </row>
    <row r="197" spans="1:20">
      <c r="A197" t="s">
        <v>1119</v>
      </c>
      <c r="B197" t="s">
        <v>1749</v>
      </c>
      <c r="C197">
        <v>25</v>
      </c>
      <c r="E197" s="69">
        <f t="shared" si="19"/>
        <v>40</v>
      </c>
      <c r="F197" s="70">
        <f t="shared" si="15"/>
        <v>1.2311025487492526E-4</v>
      </c>
      <c r="G197" s="70">
        <f t="shared" si="16"/>
        <v>1.1724786178564312E-5</v>
      </c>
      <c r="M197" s="70">
        <f t="shared" si="17"/>
        <v>1.6379526291454344E-12</v>
      </c>
      <c r="N197" s="206">
        <f t="shared" si="18"/>
        <v>6.5989816763353364</v>
      </c>
      <c r="O197" s="136"/>
      <c r="P197" s="80"/>
      <c r="Q197" s="77"/>
      <c r="R197" s="77"/>
      <c r="S197" s="80"/>
      <c r="T197" s="80"/>
    </row>
    <row r="198" spans="1:20">
      <c r="A198" t="s">
        <v>1120</v>
      </c>
      <c r="B198" t="s">
        <v>1750</v>
      </c>
      <c r="C198">
        <v>20</v>
      </c>
      <c r="E198" s="69">
        <f t="shared" si="19"/>
        <v>50</v>
      </c>
      <c r="F198" s="70">
        <f t="shared" si="15"/>
        <v>1.5388781859365658E-4</v>
      </c>
      <c r="G198" s="70">
        <f t="shared" si="16"/>
        <v>1.4655982723205388E-5</v>
      </c>
      <c r="M198" s="70">
        <f t="shared" si="17"/>
        <v>2.0474407864317928E-12</v>
      </c>
      <c r="N198" s="206">
        <f t="shared" si="18"/>
        <v>8.2487270954191718</v>
      </c>
      <c r="O198" s="136"/>
      <c r="P198" s="80"/>
      <c r="Q198" s="77"/>
      <c r="R198" s="77"/>
      <c r="S198" s="80"/>
      <c r="T198" s="80"/>
    </row>
    <row r="199" spans="1:20">
      <c r="A199" t="s">
        <v>1121</v>
      </c>
      <c r="B199" t="s">
        <v>1751</v>
      </c>
      <c r="C199">
        <v>17</v>
      </c>
      <c r="E199" s="69">
        <f t="shared" si="19"/>
        <v>58.823529411764703</v>
      </c>
      <c r="F199" s="70">
        <f t="shared" si="15"/>
        <v>1.8104449246312537E-4</v>
      </c>
      <c r="G199" s="70">
        <f t="shared" si="16"/>
        <v>1.724233261553575E-5</v>
      </c>
      <c r="M199" s="70">
        <f t="shared" si="17"/>
        <v>2.4087538663903447E-12</v>
      </c>
      <c r="N199" s="206">
        <f t="shared" si="18"/>
        <v>9.7043848181402019</v>
      </c>
      <c r="O199" s="136"/>
      <c r="P199" s="80"/>
      <c r="Q199" s="77"/>
      <c r="R199" s="77"/>
      <c r="S199" s="80"/>
      <c r="T199" s="80"/>
    </row>
    <row r="200" spans="1:20">
      <c r="A200" t="s">
        <v>1293</v>
      </c>
      <c r="B200" t="s">
        <v>1752</v>
      </c>
      <c r="C200">
        <v>72</v>
      </c>
      <c r="E200" s="69">
        <f t="shared" si="19"/>
        <v>13.888888888888888</v>
      </c>
      <c r="F200" s="70">
        <f t="shared" si="15"/>
        <v>4.2746616276015713E-5</v>
      </c>
      <c r="G200" s="70">
        <f t="shared" si="16"/>
        <v>4.0711063120014966E-6</v>
      </c>
      <c r="M200" s="70">
        <f t="shared" si="17"/>
        <v>5.6873355178660912E-13</v>
      </c>
      <c r="N200" s="206">
        <f t="shared" si="18"/>
        <v>2.2913130820608809</v>
      </c>
      <c r="O200" s="136"/>
      <c r="P200" s="80"/>
      <c r="Q200" s="77"/>
      <c r="R200" s="77"/>
      <c r="S200" s="80"/>
      <c r="T200" s="80"/>
    </row>
    <row r="201" spans="1:20">
      <c r="A201" t="s">
        <v>1292</v>
      </c>
      <c r="B201" t="s">
        <v>1753</v>
      </c>
      <c r="C201">
        <v>1800</v>
      </c>
      <c r="E201" s="69">
        <f t="shared" si="19"/>
        <v>0.55555555555555558</v>
      </c>
      <c r="F201" s="70">
        <f t="shared" si="15"/>
        <v>1.7098646510406287E-6</v>
      </c>
      <c r="G201" s="70">
        <f t="shared" si="16"/>
        <v>1.6284425248005988E-7</v>
      </c>
      <c r="M201" s="70">
        <f t="shared" si="17"/>
        <v>2.2749342071464367E-14</v>
      </c>
      <c r="N201" s="206">
        <f t="shared" si="18"/>
        <v>9.1652523282435241E-2</v>
      </c>
      <c r="O201" s="136"/>
      <c r="P201" s="80"/>
      <c r="Q201" s="77"/>
      <c r="R201" s="77"/>
      <c r="S201" s="80"/>
      <c r="T201" s="80"/>
    </row>
    <row r="202" spans="1:20">
      <c r="A202" t="s">
        <v>1294</v>
      </c>
      <c r="B202" t="s">
        <v>1754</v>
      </c>
      <c r="C202">
        <v>268</v>
      </c>
      <c r="E202" s="69">
        <f t="shared" si="19"/>
        <v>3.7313432835820897</v>
      </c>
      <c r="F202" s="70">
        <f t="shared" si="15"/>
        <v>1.148416556669079E-5</v>
      </c>
      <c r="G202" s="70">
        <f t="shared" si="16"/>
        <v>1.0937300539705514E-6</v>
      </c>
      <c r="M202" s="70">
        <f t="shared" si="17"/>
        <v>1.5279408853968604E-13</v>
      </c>
      <c r="N202" s="206">
        <f t="shared" si="18"/>
        <v>0.61557664891187835</v>
      </c>
      <c r="O202" s="136"/>
      <c r="P202" s="80"/>
      <c r="Q202" s="77"/>
      <c r="R202" s="77"/>
      <c r="S202" s="80"/>
      <c r="T202" s="80"/>
    </row>
    <row r="203" spans="1:20">
      <c r="A203" t="s">
        <v>1295</v>
      </c>
      <c r="B203" t="s">
        <v>1755</v>
      </c>
      <c r="C203">
        <v>322</v>
      </c>
      <c r="E203" s="69">
        <f t="shared" si="19"/>
        <v>3.1055900621118009</v>
      </c>
      <c r="F203" s="70">
        <f t="shared" si="15"/>
        <v>9.5582496020904703E-6</v>
      </c>
      <c r="G203" s="70">
        <f t="shared" si="16"/>
        <v>9.1030948591337806E-7</v>
      </c>
      <c r="M203" s="70">
        <f t="shared" si="17"/>
        <v>1.2717023518209893E-13</v>
      </c>
      <c r="N203" s="206">
        <f t="shared" si="18"/>
        <v>0.51234329785212251</v>
      </c>
      <c r="O203" s="136"/>
      <c r="P203" s="80"/>
      <c r="Q203" s="77"/>
      <c r="R203" s="77"/>
      <c r="S203" s="80"/>
      <c r="T203" s="80"/>
    </row>
    <row r="204" spans="1:20">
      <c r="A204" t="s">
        <v>1069</v>
      </c>
      <c r="B204" t="s">
        <v>1756</v>
      </c>
      <c r="C204">
        <v>3.7</v>
      </c>
      <c r="E204" s="69">
        <f t="shared" si="19"/>
        <v>270.2702702702702</v>
      </c>
      <c r="F204" s="70">
        <f t="shared" si="15"/>
        <v>8.3182604645219748E-4</v>
      </c>
      <c r="G204" s="70">
        <f t="shared" si="16"/>
        <v>7.922152823354262E-5</v>
      </c>
      <c r="M204" s="70">
        <f t="shared" si="17"/>
        <v>1.1067247494225904E-11</v>
      </c>
      <c r="N204" s="206">
        <f t="shared" si="18"/>
        <v>44.587714029292805</v>
      </c>
      <c r="O204" s="136"/>
      <c r="P204" s="80"/>
      <c r="Q204" s="77"/>
      <c r="R204" s="77"/>
      <c r="S204" s="80"/>
      <c r="T204" s="80"/>
    </row>
    <row r="205" spans="1:20">
      <c r="A205" t="s">
        <v>1296</v>
      </c>
      <c r="B205" t="s">
        <v>1757</v>
      </c>
      <c r="C205">
        <v>720</v>
      </c>
      <c r="E205" s="69">
        <f t="shared" si="19"/>
        <v>1.3888888888888888</v>
      </c>
      <c r="F205" s="70">
        <f t="shared" si="15"/>
        <v>4.2746616276015719E-6</v>
      </c>
      <c r="G205" s="70">
        <f t="shared" si="16"/>
        <v>4.0711063120014971E-7</v>
      </c>
      <c r="M205" s="70">
        <f t="shared" si="17"/>
        <v>5.6873355178660912E-14</v>
      </c>
      <c r="N205" s="206">
        <f t="shared" si="18"/>
        <v>0.2291313082060881</v>
      </c>
      <c r="O205" s="136"/>
      <c r="P205" s="80"/>
      <c r="Q205" s="77"/>
      <c r="R205" s="77"/>
      <c r="S205" s="80"/>
      <c r="T205" s="80"/>
    </row>
    <row r="206" spans="1:20">
      <c r="A206" t="s">
        <v>1122</v>
      </c>
      <c r="B206" t="s">
        <v>1758</v>
      </c>
      <c r="C206">
        <v>14</v>
      </c>
      <c r="E206" s="69">
        <f t="shared" si="19"/>
        <v>71.428571428571431</v>
      </c>
      <c r="F206" s="70">
        <f t="shared" si="15"/>
        <v>2.1983974084808085E-4</v>
      </c>
      <c r="G206" s="70">
        <f t="shared" si="16"/>
        <v>2.0937118176007699E-5</v>
      </c>
      <c r="M206" s="70">
        <f t="shared" si="17"/>
        <v>2.924915409188276E-12</v>
      </c>
      <c r="N206" s="206">
        <f t="shared" si="18"/>
        <v>11.783895850598817</v>
      </c>
      <c r="O206" s="136"/>
      <c r="P206" s="80"/>
      <c r="Q206" s="77"/>
      <c r="R206" s="77"/>
      <c r="S206" s="80"/>
      <c r="T206" s="80"/>
    </row>
    <row r="207" spans="1:20">
      <c r="A207" t="s">
        <v>1297</v>
      </c>
      <c r="B207" t="s">
        <v>1759</v>
      </c>
      <c r="C207">
        <v>1600</v>
      </c>
      <c r="E207" s="69">
        <f t="shared" si="19"/>
        <v>0.625</v>
      </c>
      <c r="F207" s="70">
        <f t="shared" si="15"/>
        <v>1.9235977324207072E-6</v>
      </c>
      <c r="G207" s="70">
        <f t="shared" si="16"/>
        <v>1.8319978404006737E-7</v>
      </c>
      <c r="M207" s="70">
        <f t="shared" si="17"/>
        <v>2.5593009830397413E-14</v>
      </c>
      <c r="N207" s="206">
        <f t="shared" si="18"/>
        <v>0.10310908869273963</v>
      </c>
      <c r="O207" s="136"/>
      <c r="P207" s="80"/>
      <c r="Q207" s="77"/>
      <c r="R207" s="77"/>
      <c r="S207" s="80"/>
      <c r="T207" s="80"/>
    </row>
    <row r="208" spans="1:20">
      <c r="A208" t="s">
        <v>1298</v>
      </c>
      <c r="B208" t="s">
        <v>1760</v>
      </c>
      <c r="C208">
        <v>395</v>
      </c>
      <c r="E208" s="69">
        <f t="shared" si="19"/>
        <v>2.5316455696202533</v>
      </c>
      <c r="F208" s="70">
        <f t="shared" si="15"/>
        <v>7.7917882832231191E-6</v>
      </c>
      <c r="G208" s="70">
        <f t="shared" si="16"/>
        <v>7.4207507459267802E-7</v>
      </c>
      <c r="M208" s="70">
        <f t="shared" si="17"/>
        <v>1.0366788792059711E-13</v>
      </c>
      <c r="N208" s="206">
        <f t="shared" si="18"/>
        <v>0.41765706812248971</v>
      </c>
      <c r="O208" s="136"/>
      <c r="P208" s="80"/>
      <c r="Q208" s="77"/>
      <c r="R208" s="77"/>
      <c r="S208" s="80"/>
      <c r="T208" s="80"/>
    </row>
    <row r="209" spans="1:20">
      <c r="A209" t="s">
        <v>1299</v>
      </c>
      <c r="B209" t="s">
        <v>1761</v>
      </c>
      <c r="C209">
        <v>430</v>
      </c>
      <c r="E209" s="69">
        <f t="shared" si="19"/>
        <v>2.3255813953488373</v>
      </c>
      <c r="F209" s="70">
        <f t="shared" si="15"/>
        <v>7.1575729578444926E-6</v>
      </c>
      <c r="G209" s="70">
        <f t="shared" si="16"/>
        <v>6.8167361503280884E-7</v>
      </c>
      <c r="M209" s="70">
        <f t="shared" si="17"/>
        <v>9.5229804020083388E-14</v>
      </c>
      <c r="N209" s="206">
        <f t="shared" si="18"/>
        <v>0.38366172536833354</v>
      </c>
      <c r="O209" s="136"/>
      <c r="P209" s="80"/>
      <c r="Q209" s="77"/>
      <c r="R209" s="77"/>
      <c r="S209" s="80"/>
      <c r="T209" s="80"/>
    </row>
    <row r="210" spans="1:20">
      <c r="A210" t="s">
        <v>1123</v>
      </c>
      <c r="B210" t="s">
        <v>1762</v>
      </c>
      <c r="C210">
        <v>50</v>
      </c>
      <c r="E210" s="69">
        <f t="shared" si="19"/>
        <v>20</v>
      </c>
      <c r="F210" s="70">
        <f t="shared" si="15"/>
        <v>6.1555127437462631E-5</v>
      </c>
      <c r="G210" s="70">
        <f t="shared" si="16"/>
        <v>5.8623930892821558E-6</v>
      </c>
      <c r="M210" s="70">
        <f t="shared" si="17"/>
        <v>8.1897631457271721E-13</v>
      </c>
      <c r="N210" s="206">
        <f t="shared" si="18"/>
        <v>3.2994908381676682</v>
      </c>
      <c r="O210" s="136"/>
      <c r="P210" s="80"/>
      <c r="Q210" s="77"/>
      <c r="R210" s="77"/>
      <c r="S210" s="80"/>
      <c r="T210" s="80"/>
    </row>
    <row r="211" spans="1:20">
      <c r="A211" t="s">
        <v>1301</v>
      </c>
      <c r="B211" t="s">
        <v>1763</v>
      </c>
      <c r="C211">
        <v>1072</v>
      </c>
      <c r="E211" s="69">
        <f t="shared" si="19"/>
        <v>0.93283582089552242</v>
      </c>
      <c r="F211" s="70">
        <f t="shared" si="15"/>
        <v>2.8710413916726975E-6</v>
      </c>
      <c r="G211" s="70">
        <f t="shared" si="16"/>
        <v>2.7343251349263785E-7</v>
      </c>
      <c r="M211" s="70">
        <f t="shared" si="17"/>
        <v>3.8198522134921511E-14</v>
      </c>
      <c r="N211" s="206">
        <f t="shared" si="18"/>
        <v>0.15389416222796959</v>
      </c>
      <c r="O211" s="136"/>
      <c r="P211" s="80"/>
      <c r="Q211" s="77"/>
      <c r="R211" s="77"/>
      <c r="S211" s="80"/>
      <c r="T211" s="80"/>
    </row>
    <row r="212" spans="1:20">
      <c r="A212" t="s">
        <v>1302</v>
      </c>
      <c r="B212" t="s">
        <v>1764</v>
      </c>
      <c r="C212">
        <v>1250</v>
      </c>
      <c r="E212" s="69">
        <f t="shared" si="19"/>
        <v>0.8</v>
      </c>
      <c r="F212" s="70">
        <f t="shared" si="15"/>
        <v>2.4622050974985056E-6</v>
      </c>
      <c r="G212" s="70">
        <f t="shared" si="16"/>
        <v>2.3449572357128623E-7</v>
      </c>
      <c r="M212" s="70">
        <f t="shared" si="17"/>
        <v>3.2759052582908689E-14</v>
      </c>
      <c r="N212" s="206">
        <f t="shared" si="18"/>
        <v>0.13197963352670675</v>
      </c>
      <c r="O212" s="136"/>
      <c r="P212" s="80"/>
      <c r="Q212" s="77"/>
      <c r="R212" s="77"/>
      <c r="S212" s="80"/>
      <c r="T212" s="80"/>
    </row>
    <row r="213" spans="1:20">
      <c r="A213" t="s">
        <v>1303</v>
      </c>
      <c r="B213" t="s">
        <v>1765</v>
      </c>
      <c r="C213">
        <v>1470</v>
      </c>
      <c r="E213" s="69">
        <f t="shared" si="19"/>
        <v>0.68027210884353739</v>
      </c>
      <c r="F213" s="70">
        <f t="shared" si="15"/>
        <v>2.0937118176007699E-6</v>
      </c>
      <c r="G213" s="70">
        <f t="shared" si="16"/>
        <v>1.9940112548578759E-7</v>
      </c>
      <c r="M213" s="70">
        <f t="shared" si="17"/>
        <v>2.7856337230364529E-14</v>
      </c>
      <c r="N213" s="206">
        <f t="shared" si="18"/>
        <v>0.11222757952951254</v>
      </c>
      <c r="O213" s="136"/>
      <c r="P213" s="80"/>
      <c r="Q213" s="77"/>
      <c r="R213" s="77"/>
      <c r="S213" s="80"/>
      <c r="T213" s="80"/>
    </row>
    <row r="214" spans="1:20">
      <c r="A214" t="s">
        <v>1124</v>
      </c>
      <c r="B214" t="s">
        <v>1766</v>
      </c>
      <c r="C214">
        <v>50</v>
      </c>
      <c r="E214" s="69">
        <f t="shared" si="19"/>
        <v>20</v>
      </c>
      <c r="F214" s="70">
        <f t="shared" si="15"/>
        <v>6.1555127437462631E-5</v>
      </c>
      <c r="G214" s="70">
        <f t="shared" si="16"/>
        <v>5.8623930892821558E-6</v>
      </c>
      <c r="M214" s="70">
        <f t="shared" si="17"/>
        <v>8.1897631457271721E-13</v>
      </c>
      <c r="N214" s="206">
        <f t="shared" si="18"/>
        <v>3.2994908381676682</v>
      </c>
      <c r="O214" s="136"/>
      <c r="P214" s="80"/>
      <c r="Q214" s="77"/>
      <c r="R214" s="77"/>
      <c r="S214" s="80"/>
      <c r="T214" s="80"/>
    </row>
    <row r="215" spans="1:20">
      <c r="A215" t="s">
        <v>1304</v>
      </c>
      <c r="B215" t="s">
        <v>1767</v>
      </c>
      <c r="C215">
        <v>1860</v>
      </c>
      <c r="E215" s="69">
        <f t="shared" si="19"/>
        <v>0.5376344086021505</v>
      </c>
      <c r="F215" s="70">
        <f t="shared" si="15"/>
        <v>1.6547077268135117E-6</v>
      </c>
      <c r="G215" s="70">
        <f t="shared" si="16"/>
        <v>1.5759121207747728E-7</v>
      </c>
      <c r="M215" s="70">
        <f t="shared" si="17"/>
        <v>2.2015492327223578E-14</v>
      </c>
      <c r="N215" s="206">
        <f t="shared" si="18"/>
        <v>8.8695990273324421E-2</v>
      </c>
      <c r="O215" s="136"/>
      <c r="P215" s="80"/>
      <c r="Q215" s="77"/>
      <c r="R215" s="77"/>
      <c r="S215" s="80"/>
      <c r="T215" s="80"/>
    </row>
    <row r="216" spans="1:20">
      <c r="A216" t="s">
        <v>1125</v>
      </c>
      <c r="B216" t="s">
        <v>1768</v>
      </c>
      <c r="C216">
        <v>6</v>
      </c>
      <c r="E216" s="69">
        <f t="shared" si="19"/>
        <v>166.66666666666666</v>
      </c>
      <c r="F216" s="70">
        <f t="shared" si="15"/>
        <v>5.1295939531218859E-4</v>
      </c>
      <c r="G216" s="70">
        <f t="shared" si="16"/>
        <v>4.8853275744017966E-5</v>
      </c>
      <c r="M216" s="70">
        <f t="shared" si="17"/>
        <v>6.8248026214393094E-12</v>
      </c>
      <c r="N216" s="206">
        <f t="shared" si="18"/>
        <v>27.495756984730566</v>
      </c>
      <c r="O216" s="136"/>
      <c r="P216" s="80"/>
      <c r="Q216" s="77"/>
      <c r="R216" s="77"/>
      <c r="S216" s="80"/>
      <c r="T216" s="80"/>
    </row>
    <row r="217" spans="1:20">
      <c r="A217" t="s">
        <v>1126</v>
      </c>
      <c r="B217" t="s">
        <v>1769</v>
      </c>
      <c r="C217">
        <v>65</v>
      </c>
      <c r="E217" s="69">
        <f t="shared" si="19"/>
        <v>15.384615384615385</v>
      </c>
      <c r="F217" s="70">
        <f t="shared" si="15"/>
        <v>4.735009802881741E-5</v>
      </c>
      <c r="G217" s="70">
        <f t="shared" si="16"/>
        <v>4.5095331456016577E-6</v>
      </c>
      <c r="M217" s="70">
        <f t="shared" si="17"/>
        <v>6.2998178044055169E-13</v>
      </c>
      <c r="N217" s="206">
        <f t="shared" si="18"/>
        <v>2.5380698755135915</v>
      </c>
      <c r="O217" s="136"/>
      <c r="P217" s="80"/>
      <c r="Q217" s="77"/>
      <c r="R217" s="77"/>
      <c r="S217" s="80"/>
      <c r="T217" s="80"/>
    </row>
    <row r="218" spans="1:20">
      <c r="A218" t="s">
        <v>1305</v>
      </c>
      <c r="B218" t="s">
        <v>1770</v>
      </c>
      <c r="C218">
        <v>1300</v>
      </c>
      <c r="E218" s="69">
        <f t="shared" si="19"/>
        <v>0.76923076923076927</v>
      </c>
      <c r="F218" s="70">
        <f t="shared" si="15"/>
        <v>2.3675049014408706E-6</v>
      </c>
      <c r="G218" s="70">
        <f t="shared" si="16"/>
        <v>2.2547665728008291E-7</v>
      </c>
      <c r="M218" s="70">
        <f t="shared" si="17"/>
        <v>3.1499089022027588E-14</v>
      </c>
      <c r="N218" s="206">
        <f t="shared" si="18"/>
        <v>0.12690349377567955</v>
      </c>
      <c r="O218" s="136"/>
      <c r="P218" s="80"/>
      <c r="Q218" s="77"/>
      <c r="R218" s="77"/>
      <c r="S218" s="80"/>
      <c r="T218" s="80"/>
    </row>
    <row r="219" spans="1:20">
      <c r="A219" t="s">
        <v>1306</v>
      </c>
      <c r="B219" t="s">
        <v>1771</v>
      </c>
      <c r="C219">
        <v>150</v>
      </c>
      <c r="E219" s="69">
        <f t="shared" si="19"/>
        <v>6.666666666666667</v>
      </c>
      <c r="F219" s="70">
        <f t="shared" si="15"/>
        <v>2.0518375812487547E-5</v>
      </c>
      <c r="G219" s="70">
        <f t="shared" si="16"/>
        <v>1.9541310297607189E-6</v>
      </c>
      <c r="M219" s="70">
        <f t="shared" si="17"/>
        <v>2.7299210485757239E-13</v>
      </c>
      <c r="N219" s="206">
        <f t="shared" si="18"/>
        <v>1.099830279389223</v>
      </c>
      <c r="O219" s="136"/>
      <c r="P219" s="80"/>
      <c r="Q219" s="77"/>
      <c r="R219" s="77"/>
      <c r="S219" s="80"/>
      <c r="T219" s="80"/>
    </row>
    <row r="220" spans="1:20">
      <c r="A220" t="s">
        <v>1070</v>
      </c>
      <c r="B220" t="s">
        <v>1772</v>
      </c>
      <c r="C220">
        <v>13</v>
      </c>
      <c r="D220" t="s">
        <v>1071</v>
      </c>
      <c r="E220" s="69">
        <f t="shared" si="19"/>
        <v>76.923076923076934</v>
      </c>
      <c r="F220" s="70">
        <f t="shared" si="15"/>
        <v>2.3675049014408708E-4</v>
      </c>
      <c r="G220" s="70">
        <f t="shared" si="16"/>
        <v>2.2547665728008293E-5</v>
      </c>
      <c r="M220" s="70">
        <f t="shared" si="17"/>
        <v>3.1499089022027586E-12</v>
      </c>
      <c r="N220" s="206">
        <f t="shared" si="18"/>
        <v>12.690349377567955</v>
      </c>
      <c r="O220" s="136"/>
      <c r="P220" s="80"/>
      <c r="Q220" s="77"/>
      <c r="R220" s="77"/>
      <c r="S220" s="80"/>
      <c r="T220" s="80"/>
    </row>
    <row r="221" spans="1:20">
      <c r="A221" t="s">
        <v>1072</v>
      </c>
      <c r="B221" t="s">
        <v>1773</v>
      </c>
      <c r="C221">
        <v>14</v>
      </c>
      <c r="E221" s="69">
        <f t="shared" si="19"/>
        <v>71.428571428571431</v>
      </c>
      <c r="F221" s="70">
        <f t="shared" si="15"/>
        <v>2.1983974084808085E-4</v>
      </c>
      <c r="G221" s="70">
        <f t="shared" si="16"/>
        <v>2.0937118176007699E-5</v>
      </c>
      <c r="M221" s="70">
        <f t="shared" si="17"/>
        <v>2.924915409188276E-12</v>
      </c>
      <c r="N221" s="206">
        <f t="shared" si="18"/>
        <v>11.783895850598817</v>
      </c>
      <c r="O221" s="136"/>
      <c r="P221" s="80"/>
      <c r="Q221" s="77"/>
      <c r="R221" s="77"/>
      <c r="S221" s="80"/>
      <c r="T221" s="80"/>
    </row>
    <row r="222" spans="1:20">
      <c r="A222" t="s">
        <v>1127</v>
      </c>
      <c r="B222" t="s">
        <v>1774</v>
      </c>
      <c r="C222">
        <v>22</v>
      </c>
      <c r="D222" t="s">
        <v>1128</v>
      </c>
      <c r="E222" s="69">
        <f t="shared" si="19"/>
        <v>45.454545454545453</v>
      </c>
      <c r="F222" s="70">
        <f t="shared" si="15"/>
        <v>1.3989801690332415E-4</v>
      </c>
      <c r="G222" s="70">
        <f t="shared" si="16"/>
        <v>1.3323620657459444E-5</v>
      </c>
      <c r="M222" s="70">
        <f t="shared" si="17"/>
        <v>1.8613098058470846E-12</v>
      </c>
      <c r="N222" s="206">
        <f t="shared" si="18"/>
        <v>7.4988428140174275</v>
      </c>
      <c r="O222" s="136"/>
      <c r="P222" s="80"/>
      <c r="Q222" s="77"/>
      <c r="R222" s="77"/>
      <c r="S222" s="80"/>
      <c r="T222" s="80"/>
    </row>
    <row r="223" spans="1:20">
      <c r="A223" t="s">
        <v>1307</v>
      </c>
      <c r="B223" t="s">
        <v>1775</v>
      </c>
      <c r="C223">
        <v>1120</v>
      </c>
      <c r="E223" s="69">
        <f t="shared" si="19"/>
        <v>0.89285714285714279</v>
      </c>
      <c r="F223" s="70">
        <f t="shared" si="15"/>
        <v>2.7479967606010104E-6</v>
      </c>
      <c r="G223" s="70">
        <f t="shared" si="16"/>
        <v>2.6171397720009624E-7</v>
      </c>
      <c r="M223" s="70">
        <f t="shared" si="17"/>
        <v>3.6561442614853446E-14</v>
      </c>
      <c r="N223" s="206">
        <f t="shared" si="18"/>
        <v>0.1472986981324852</v>
      </c>
      <c r="O223" s="136"/>
      <c r="P223" s="80"/>
      <c r="Q223" s="77"/>
      <c r="R223" s="77"/>
      <c r="S223" s="80"/>
      <c r="T223" s="80"/>
    </row>
    <row r="224" spans="1:20">
      <c r="A224" t="s">
        <v>1308</v>
      </c>
      <c r="B224" t="s">
        <v>1776</v>
      </c>
      <c r="C224">
        <v>1050</v>
      </c>
      <c r="E224" s="69">
        <f t="shared" si="19"/>
        <v>0.95238095238095233</v>
      </c>
      <c r="F224" s="70">
        <f t="shared" si="15"/>
        <v>2.9311965446410779E-6</v>
      </c>
      <c r="G224" s="70">
        <f t="shared" si="16"/>
        <v>2.7916157568010262E-7</v>
      </c>
      <c r="M224" s="70">
        <f t="shared" si="17"/>
        <v>3.8998872122510337E-14</v>
      </c>
      <c r="N224" s="206">
        <f t="shared" si="18"/>
        <v>0.15711861134131758</v>
      </c>
      <c r="O224" s="136"/>
      <c r="P224" s="80"/>
      <c r="Q224" s="77"/>
      <c r="R224" s="77"/>
      <c r="S224" s="80"/>
      <c r="T224" s="80"/>
    </row>
    <row r="225" spans="1:20">
      <c r="A225" s="133" t="s">
        <v>1129</v>
      </c>
      <c r="B225" t="s">
        <v>1777</v>
      </c>
      <c r="C225">
        <v>80</v>
      </c>
      <c r="E225" s="69">
        <f t="shared" si="19"/>
        <v>12.5</v>
      </c>
      <c r="F225" s="70">
        <f t="shared" si="15"/>
        <v>3.8471954648414144E-5</v>
      </c>
      <c r="G225" s="70">
        <f t="shared" si="16"/>
        <v>3.6639956808013469E-6</v>
      </c>
      <c r="M225" s="70">
        <f t="shared" si="17"/>
        <v>5.1186019660794821E-13</v>
      </c>
      <c r="N225" s="206">
        <f t="shared" si="18"/>
        <v>2.062181773854793</v>
      </c>
      <c r="O225" s="136"/>
      <c r="P225" s="80"/>
      <c r="Q225" s="77"/>
      <c r="R225" s="77"/>
      <c r="S225" s="80"/>
      <c r="T225" s="80"/>
    </row>
    <row r="226" spans="1:20">
      <c r="A226" t="s">
        <v>1309</v>
      </c>
      <c r="B226" t="s">
        <v>1778</v>
      </c>
      <c r="C226">
        <v>500</v>
      </c>
      <c r="E226" s="69">
        <f t="shared" si="19"/>
        <v>2</v>
      </c>
      <c r="F226" s="70">
        <f t="shared" si="15"/>
        <v>6.1555127437462631E-6</v>
      </c>
      <c r="G226" s="70">
        <f t="shared" si="16"/>
        <v>5.8623930892821551E-7</v>
      </c>
      <c r="M226" s="70">
        <f t="shared" si="17"/>
        <v>8.1897631457271719E-14</v>
      </c>
      <c r="N226" s="206">
        <f t="shared" si="18"/>
        <v>0.32994908381676685</v>
      </c>
      <c r="O226" s="136"/>
      <c r="P226" s="80"/>
      <c r="Q226" s="77"/>
      <c r="R226" s="77"/>
      <c r="S226" s="80"/>
      <c r="T226" s="80"/>
    </row>
    <row r="227" spans="1:20">
      <c r="A227" t="s">
        <v>1310</v>
      </c>
      <c r="B227" s="78" t="s">
        <v>1561</v>
      </c>
      <c r="C227">
        <v>400</v>
      </c>
      <c r="E227" s="69">
        <f t="shared" si="19"/>
        <v>2.5</v>
      </c>
      <c r="F227" s="70">
        <f t="shared" si="15"/>
        <v>7.6943909296828288E-6</v>
      </c>
      <c r="G227" s="70">
        <f t="shared" si="16"/>
        <v>7.3279913616026947E-7</v>
      </c>
      <c r="M227" s="70">
        <f t="shared" si="17"/>
        <v>1.0237203932158965E-13</v>
      </c>
      <c r="N227" s="206">
        <f t="shared" si="18"/>
        <v>0.41243635477095852</v>
      </c>
      <c r="O227" s="136"/>
      <c r="P227" s="80"/>
      <c r="Q227" s="77"/>
      <c r="R227" s="77"/>
      <c r="S227" s="80"/>
      <c r="T227" s="80"/>
    </row>
    <row r="228" spans="1:20">
      <c r="A228" t="s">
        <v>1073</v>
      </c>
      <c r="B228" t="s">
        <v>1779</v>
      </c>
      <c r="C228">
        <v>24</v>
      </c>
      <c r="E228" s="69">
        <f t="shared" si="19"/>
        <v>41.666666666666664</v>
      </c>
      <c r="F228" s="70">
        <f t="shared" si="15"/>
        <v>1.2823984882804715E-4</v>
      </c>
      <c r="G228" s="70">
        <f t="shared" si="16"/>
        <v>1.2213318936004491E-5</v>
      </c>
      <c r="M228" s="70">
        <f t="shared" si="17"/>
        <v>1.7062006553598274E-12</v>
      </c>
      <c r="N228" s="206">
        <f t="shared" si="18"/>
        <v>6.8739392461826414</v>
      </c>
      <c r="O228" s="136"/>
      <c r="P228" s="80"/>
      <c r="Q228" s="77"/>
      <c r="R228" s="77"/>
      <c r="S228" s="80"/>
      <c r="T228" s="80"/>
    </row>
    <row r="229" spans="1:20">
      <c r="A229" t="s">
        <v>1074</v>
      </c>
      <c r="B229" t="s">
        <v>1780</v>
      </c>
      <c r="C229">
        <v>2</v>
      </c>
      <c r="E229" s="69">
        <f t="shared" si="19"/>
        <v>500</v>
      </c>
      <c r="F229" s="70">
        <f t="shared" si="15"/>
        <v>1.5388781859365659E-3</v>
      </c>
      <c r="G229" s="70">
        <f t="shared" si="16"/>
        <v>1.4655982723205387E-4</v>
      </c>
      <c r="M229" s="70">
        <f t="shared" si="17"/>
        <v>2.0474407864317929E-11</v>
      </c>
      <c r="N229" s="206">
        <f t="shared" si="18"/>
        <v>82.487270954191715</v>
      </c>
      <c r="O229" s="136"/>
      <c r="P229" s="80"/>
      <c r="Q229" s="77"/>
      <c r="R229" s="77"/>
      <c r="S229" s="80"/>
      <c r="T229" s="80"/>
    </row>
    <row r="230" spans="1:20">
      <c r="A230" t="s">
        <v>1311</v>
      </c>
      <c r="B230" t="s">
        <v>1781</v>
      </c>
      <c r="C230">
        <v>120</v>
      </c>
      <c r="E230" s="69">
        <f t="shared" si="19"/>
        <v>8.3333333333333339</v>
      </c>
      <c r="F230" s="70">
        <f t="shared" si="15"/>
        <v>2.5647969765609433E-5</v>
      </c>
      <c r="G230" s="70">
        <f t="shared" si="16"/>
        <v>2.4426637872008984E-6</v>
      </c>
      <c r="M230" s="70">
        <f t="shared" si="17"/>
        <v>3.4124013107196547E-13</v>
      </c>
      <c r="N230" s="206">
        <f t="shared" si="18"/>
        <v>1.3747878492365286</v>
      </c>
      <c r="O230" s="136"/>
      <c r="P230" s="80"/>
      <c r="Q230" s="77"/>
      <c r="R230" s="77"/>
      <c r="S230" s="80"/>
      <c r="T230" s="80"/>
    </row>
    <row r="231" spans="1:20">
      <c r="A231" t="s">
        <v>1312</v>
      </c>
      <c r="B231" t="s">
        <v>1782</v>
      </c>
      <c r="C231">
        <v>113</v>
      </c>
      <c r="E231" s="69">
        <f t="shared" si="19"/>
        <v>8.8495575221238933</v>
      </c>
      <c r="F231" s="70">
        <f t="shared" si="15"/>
        <v>2.7236782051974616E-5</v>
      </c>
      <c r="G231" s="70">
        <f t="shared" si="16"/>
        <v>2.5939792430452013E-6</v>
      </c>
      <c r="M231" s="70">
        <f t="shared" si="17"/>
        <v>3.6237890025341467E-13</v>
      </c>
      <c r="N231" s="206">
        <f t="shared" si="18"/>
        <v>1.4599516983042782</v>
      </c>
      <c r="O231" s="136"/>
      <c r="P231" s="80"/>
      <c r="Q231" s="77"/>
      <c r="R231" s="77"/>
      <c r="S231" s="80"/>
      <c r="T231" s="80"/>
    </row>
    <row r="232" spans="1:20">
      <c r="A232" t="s">
        <v>643</v>
      </c>
      <c r="B232" t="s">
        <v>1783</v>
      </c>
      <c r="C232">
        <v>7</v>
      </c>
      <c r="E232" s="69">
        <f t="shared" si="19"/>
        <v>142.85714285714286</v>
      </c>
      <c r="F232" s="70">
        <f t="shared" si="15"/>
        <v>4.3967948169616169E-4</v>
      </c>
      <c r="G232" s="70">
        <f t="shared" si="16"/>
        <v>4.1874236352015398E-5</v>
      </c>
      <c r="M232" s="70">
        <f t="shared" si="17"/>
        <v>5.849830818376552E-12</v>
      </c>
      <c r="N232" s="206">
        <f t="shared" si="18"/>
        <v>23.567791701197635</v>
      </c>
      <c r="O232" s="136"/>
      <c r="P232" s="80"/>
      <c r="Q232" s="77"/>
      <c r="R232" s="77"/>
      <c r="S232" s="80"/>
      <c r="T232" s="80"/>
    </row>
    <row r="233" spans="1:20">
      <c r="A233" t="s">
        <v>1313</v>
      </c>
      <c r="B233" t="s">
        <v>1784</v>
      </c>
      <c r="C233">
        <v>1975</v>
      </c>
      <c r="E233" s="69">
        <f t="shared" si="19"/>
        <v>0.50632911392405067</v>
      </c>
      <c r="F233" s="70">
        <f t="shared" si="15"/>
        <v>1.5583576566446239E-6</v>
      </c>
      <c r="G233" s="70">
        <f t="shared" si="16"/>
        <v>1.484150149185356E-7</v>
      </c>
      <c r="M233" s="70">
        <f t="shared" si="17"/>
        <v>2.0733577584119422E-14</v>
      </c>
      <c r="N233" s="206">
        <f t="shared" si="18"/>
        <v>8.3531413624497952E-2</v>
      </c>
      <c r="O233" s="136"/>
      <c r="P233" s="80"/>
      <c r="Q233" s="77"/>
      <c r="R233" s="77"/>
      <c r="S233" s="80"/>
      <c r="T233" s="80"/>
    </row>
    <row r="234" spans="1:20">
      <c r="A234" t="s">
        <v>1314</v>
      </c>
      <c r="B234" t="s">
        <v>1785</v>
      </c>
      <c r="C234">
        <v>324</v>
      </c>
      <c r="E234" s="69">
        <f t="shared" si="19"/>
        <v>3.0864197530864197</v>
      </c>
      <c r="F234" s="70">
        <f t="shared" si="15"/>
        <v>9.4992480613368254E-6</v>
      </c>
      <c r="G234" s="70">
        <f t="shared" si="16"/>
        <v>9.0469029155588817E-7</v>
      </c>
      <c r="M234" s="70">
        <f t="shared" si="17"/>
        <v>1.2638523373035759E-13</v>
      </c>
      <c r="N234" s="206">
        <f t="shared" si="18"/>
        <v>0.50918068490241797</v>
      </c>
      <c r="O234" s="136"/>
      <c r="P234" s="80"/>
      <c r="Q234" s="77"/>
      <c r="R234" s="77"/>
      <c r="S234" s="80"/>
      <c r="T234" s="80"/>
    </row>
    <row r="235" spans="1:20">
      <c r="A235" t="s">
        <v>1315</v>
      </c>
      <c r="B235" t="s">
        <v>1786</v>
      </c>
      <c r="C235">
        <v>147</v>
      </c>
      <c r="E235" s="69">
        <f t="shared" si="19"/>
        <v>6.8027210884353737</v>
      </c>
      <c r="F235" s="70">
        <f t="shared" si="15"/>
        <v>2.0937118176007696E-5</v>
      </c>
      <c r="G235" s="70">
        <f t="shared" si="16"/>
        <v>1.9940112548578757E-6</v>
      </c>
      <c r="M235" s="70">
        <f t="shared" si="17"/>
        <v>2.7856337230364526E-13</v>
      </c>
      <c r="N235" s="206">
        <f t="shared" si="18"/>
        <v>1.1222757952951252</v>
      </c>
      <c r="O235" s="136"/>
      <c r="P235" s="80"/>
      <c r="Q235" s="77"/>
      <c r="R235" s="77"/>
      <c r="S235" s="80"/>
      <c r="T235" s="80"/>
    </row>
    <row r="236" spans="1:20">
      <c r="A236" t="s">
        <v>1316</v>
      </c>
      <c r="B236" t="s">
        <v>1787</v>
      </c>
      <c r="C236">
        <v>1667</v>
      </c>
      <c r="E236" s="69">
        <f t="shared" si="19"/>
        <v>0.59988002399520091</v>
      </c>
      <c r="F236" s="70">
        <f t="shared" si="15"/>
        <v>1.8462845662106367E-6</v>
      </c>
      <c r="G236" s="70">
        <f t="shared" si="16"/>
        <v>1.7583662535339398E-7</v>
      </c>
      <c r="M236" s="70">
        <f t="shared" si="17"/>
        <v>2.4564376561869139E-14</v>
      </c>
      <c r="N236" s="206">
        <f t="shared" si="18"/>
        <v>9.8964932158598334E-2</v>
      </c>
      <c r="O236" s="136"/>
      <c r="P236" s="80"/>
      <c r="Q236" s="77"/>
      <c r="R236" s="77"/>
      <c r="S236" s="80"/>
      <c r="T236" s="80"/>
    </row>
    <row r="237" spans="1:20">
      <c r="A237" t="s">
        <v>1317</v>
      </c>
      <c r="B237" t="s">
        <v>1788</v>
      </c>
      <c r="C237">
        <v>460</v>
      </c>
      <c r="E237" s="69">
        <f t="shared" si="19"/>
        <v>2.1739130434782608</v>
      </c>
      <c r="F237" s="70">
        <f t="shared" si="15"/>
        <v>6.6907747214633292E-6</v>
      </c>
      <c r="G237" s="70">
        <f t="shared" si="16"/>
        <v>6.3721664013936469E-7</v>
      </c>
      <c r="M237" s="70">
        <f t="shared" si="17"/>
        <v>8.9019164627469261E-14</v>
      </c>
      <c r="N237" s="206">
        <f t="shared" si="18"/>
        <v>0.3586403084964857</v>
      </c>
      <c r="O237" s="136"/>
      <c r="P237" s="80"/>
      <c r="Q237" s="77"/>
      <c r="R237" s="77"/>
      <c r="S237" s="80"/>
      <c r="T237" s="80"/>
    </row>
    <row r="238" spans="1:20">
      <c r="A238" t="s">
        <v>1318</v>
      </c>
      <c r="B238" t="s">
        <v>1789</v>
      </c>
      <c r="C238">
        <v>1600</v>
      </c>
      <c r="E238" s="69">
        <f t="shared" si="19"/>
        <v>0.625</v>
      </c>
      <c r="F238" s="70">
        <f t="shared" si="15"/>
        <v>1.9235977324207072E-6</v>
      </c>
      <c r="G238" s="70">
        <f t="shared" si="16"/>
        <v>1.8319978404006737E-7</v>
      </c>
      <c r="M238" s="70">
        <f t="shared" si="17"/>
        <v>2.5593009830397413E-14</v>
      </c>
      <c r="N238" s="206">
        <f t="shared" si="18"/>
        <v>0.10310908869273963</v>
      </c>
      <c r="O238" s="136"/>
      <c r="P238" s="80"/>
      <c r="Q238" s="77"/>
      <c r="R238" s="77"/>
      <c r="S238" s="80"/>
      <c r="T238" s="80"/>
    </row>
    <row r="239" spans="1:20">
      <c r="A239" t="s">
        <v>1319</v>
      </c>
      <c r="B239" t="s">
        <v>1790</v>
      </c>
      <c r="C239">
        <v>358</v>
      </c>
      <c r="E239" s="69">
        <f t="shared" si="19"/>
        <v>2.7932960893854748</v>
      </c>
      <c r="F239" s="70">
        <f t="shared" si="15"/>
        <v>8.5970848376344465E-6</v>
      </c>
      <c r="G239" s="70">
        <f t="shared" si="16"/>
        <v>8.1876998453661386E-7</v>
      </c>
      <c r="M239" s="70">
        <f t="shared" si="17"/>
        <v>1.1438216683976497E-13</v>
      </c>
      <c r="N239" s="206">
        <f t="shared" si="18"/>
        <v>0.46082274276084761</v>
      </c>
      <c r="O239" s="136"/>
      <c r="P239" s="80"/>
      <c r="Q239" s="77"/>
      <c r="R239" s="77"/>
      <c r="S239" s="80"/>
      <c r="T239" s="80"/>
    </row>
    <row r="240" spans="1:20">
      <c r="A240" t="s">
        <v>1320</v>
      </c>
      <c r="B240" t="s">
        <v>1791</v>
      </c>
      <c r="C240">
        <v>1500</v>
      </c>
      <c r="E240" s="69">
        <f t="shared" si="19"/>
        <v>0.66666666666666663</v>
      </c>
      <c r="F240" s="70">
        <f t="shared" si="15"/>
        <v>2.0518375812487544E-6</v>
      </c>
      <c r="G240" s="70">
        <f t="shared" si="16"/>
        <v>1.9541310297607186E-7</v>
      </c>
      <c r="M240" s="70">
        <f t="shared" si="17"/>
        <v>2.7299210485757237E-14</v>
      </c>
      <c r="N240" s="206">
        <f t="shared" si="18"/>
        <v>0.10998302793892228</v>
      </c>
      <c r="O240" s="136"/>
      <c r="P240" s="80"/>
      <c r="Q240" s="77"/>
      <c r="R240" s="77"/>
      <c r="S240" s="80"/>
      <c r="T240" s="80"/>
    </row>
    <row r="241" spans="1:20">
      <c r="A241" t="s">
        <v>1321</v>
      </c>
      <c r="B241" t="s">
        <v>1792</v>
      </c>
      <c r="C241">
        <v>1400</v>
      </c>
      <c r="E241" s="69">
        <f t="shared" si="19"/>
        <v>0.7142857142857143</v>
      </c>
      <c r="F241" s="70">
        <f t="shared" si="15"/>
        <v>2.1983974084808084E-6</v>
      </c>
      <c r="G241" s="70">
        <f t="shared" si="16"/>
        <v>2.0937118176007699E-7</v>
      </c>
      <c r="M241" s="70">
        <f t="shared" si="17"/>
        <v>2.9249154091882759E-14</v>
      </c>
      <c r="N241" s="206">
        <f t="shared" si="18"/>
        <v>0.11783895850598816</v>
      </c>
      <c r="O241" s="136"/>
      <c r="P241" s="80"/>
      <c r="Q241" s="77"/>
      <c r="R241" s="77"/>
      <c r="S241" s="80"/>
      <c r="T241" s="80"/>
    </row>
    <row r="242" spans="1:20">
      <c r="A242" t="s">
        <v>1130</v>
      </c>
      <c r="B242" t="s">
        <v>1793</v>
      </c>
      <c r="C242">
        <v>106</v>
      </c>
      <c r="E242" s="69">
        <f t="shared" si="19"/>
        <v>9.4339622641509422</v>
      </c>
      <c r="F242" s="70">
        <f t="shared" si="15"/>
        <v>2.9035437470501236E-5</v>
      </c>
      <c r="G242" s="70">
        <f t="shared" si="16"/>
        <v>2.765279759095356E-6</v>
      </c>
      <c r="M242" s="70">
        <f t="shared" si="17"/>
        <v>3.8630958234562123E-13</v>
      </c>
      <c r="N242" s="206">
        <f t="shared" si="18"/>
        <v>1.5563636029092773</v>
      </c>
      <c r="O242" s="136"/>
      <c r="P242" s="80"/>
      <c r="Q242" s="77"/>
      <c r="R242" s="77"/>
      <c r="S242" s="80"/>
      <c r="T242" s="80"/>
    </row>
    <row r="243" spans="1:20">
      <c r="A243" t="s">
        <v>1322</v>
      </c>
      <c r="B243" t="s">
        <v>1794</v>
      </c>
      <c r="C243">
        <v>1520</v>
      </c>
      <c r="E243" s="69">
        <f t="shared" si="19"/>
        <v>0.6578947368421052</v>
      </c>
      <c r="F243" s="70">
        <f t="shared" si="15"/>
        <v>2.0248397183375866E-6</v>
      </c>
      <c r="G243" s="70">
        <f t="shared" si="16"/>
        <v>1.9284187793691302E-7</v>
      </c>
      <c r="M243" s="70">
        <f t="shared" si="17"/>
        <v>2.6940010347786743E-14</v>
      </c>
      <c r="N243" s="206">
        <f t="shared" si="18"/>
        <v>0.10853588283446278</v>
      </c>
      <c r="O243" s="136"/>
      <c r="P243" s="80"/>
      <c r="Q243" s="77"/>
      <c r="R243" s="77"/>
      <c r="S243" s="80"/>
      <c r="T243" s="80"/>
    </row>
    <row r="244" spans="1:20">
      <c r="A244" t="s">
        <v>1323</v>
      </c>
      <c r="B244" t="s">
        <v>1795</v>
      </c>
      <c r="C244">
        <v>95</v>
      </c>
      <c r="E244" s="69">
        <f t="shared" si="19"/>
        <v>10.526315789473683</v>
      </c>
      <c r="F244" s="70">
        <f t="shared" si="15"/>
        <v>3.2397435493401386E-5</v>
      </c>
      <c r="G244" s="70">
        <f t="shared" si="16"/>
        <v>3.0854700469906083E-6</v>
      </c>
      <c r="M244" s="70">
        <f t="shared" si="17"/>
        <v>4.3104016556458789E-13</v>
      </c>
      <c r="N244" s="206">
        <f t="shared" si="18"/>
        <v>1.7365741253514044</v>
      </c>
      <c r="O244" s="136"/>
      <c r="P244" s="80"/>
      <c r="Q244" s="77"/>
      <c r="R244" s="77"/>
      <c r="S244" s="80"/>
      <c r="T244" s="80"/>
    </row>
    <row r="245" spans="1:20">
      <c r="A245" t="s">
        <v>1324</v>
      </c>
      <c r="B245" t="s">
        <v>1796</v>
      </c>
      <c r="C245">
        <v>1820</v>
      </c>
      <c r="E245" s="69">
        <f t="shared" si="19"/>
        <v>0.5494505494505495</v>
      </c>
      <c r="F245" s="70">
        <f t="shared" si="15"/>
        <v>1.6910749296006222E-6</v>
      </c>
      <c r="G245" s="70">
        <f t="shared" si="16"/>
        <v>1.6105475520005922E-7</v>
      </c>
      <c r="M245" s="70">
        <f t="shared" si="17"/>
        <v>2.2499349301448278E-14</v>
      </c>
      <c r="N245" s="206">
        <f t="shared" si="18"/>
        <v>9.0645352696913997E-2</v>
      </c>
      <c r="O245" s="136"/>
      <c r="P245" s="80"/>
      <c r="Q245" s="77"/>
      <c r="R245" s="77"/>
      <c r="S245" s="80"/>
      <c r="T245" s="80"/>
    </row>
    <row r="246" spans="1:20">
      <c r="A246" t="s">
        <v>1325</v>
      </c>
      <c r="B246" t="s">
        <v>1797</v>
      </c>
      <c r="C246">
        <v>925</v>
      </c>
      <c r="E246" s="69">
        <f t="shared" si="19"/>
        <v>1.0810810810810811</v>
      </c>
      <c r="F246" s="70">
        <f t="shared" si="15"/>
        <v>3.3273041858087912E-6</v>
      </c>
      <c r="G246" s="70">
        <f t="shared" si="16"/>
        <v>3.1688611293417062E-7</v>
      </c>
      <c r="M246" s="70">
        <f t="shared" si="17"/>
        <v>4.4268989976903632E-14</v>
      </c>
      <c r="N246" s="206">
        <f t="shared" si="18"/>
        <v>0.1783508561171713</v>
      </c>
      <c r="O246" s="136"/>
      <c r="P246" s="80"/>
      <c r="Q246" s="77"/>
      <c r="R246" s="77"/>
      <c r="S246" s="80"/>
      <c r="T246" s="80"/>
    </row>
    <row r="247" spans="1:20">
      <c r="A247" t="s">
        <v>1326</v>
      </c>
      <c r="B247" t="s">
        <v>1798</v>
      </c>
      <c r="C247">
        <v>237</v>
      </c>
      <c r="E247" s="69">
        <f t="shared" si="19"/>
        <v>4.2194092827004219</v>
      </c>
      <c r="F247" s="70">
        <f t="shared" si="15"/>
        <v>1.2986313805371864E-5</v>
      </c>
      <c r="G247" s="70">
        <f t="shared" si="16"/>
        <v>1.2367917909877965E-6</v>
      </c>
      <c r="M247" s="70">
        <f t="shared" si="17"/>
        <v>1.7277981320099519E-13</v>
      </c>
      <c r="N247" s="206">
        <f t="shared" si="18"/>
        <v>0.69609511353748277</v>
      </c>
      <c r="O247" s="136"/>
      <c r="P247" s="80"/>
      <c r="Q247" s="77"/>
      <c r="R247" s="77"/>
      <c r="S247" s="80"/>
      <c r="T247" s="80"/>
    </row>
    <row r="248" spans="1:20">
      <c r="A248" t="s">
        <v>1327</v>
      </c>
      <c r="B248" t="s">
        <v>1799</v>
      </c>
      <c r="C248">
        <v>435</v>
      </c>
      <c r="E248" s="69">
        <f t="shared" si="19"/>
        <v>2.2988505747126435</v>
      </c>
      <c r="F248" s="70">
        <f t="shared" si="15"/>
        <v>7.0753020043060498E-6</v>
      </c>
      <c r="G248" s="70">
        <f t="shared" si="16"/>
        <v>6.7383828612438571E-7</v>
      </c>
      <c r="M248" s="70">
        <f t="shared" si="17"/>
        <v>9.4135208571576674E-14</v>
      </c>
      <c r="N248" s="206">
        <f t="shared" si="18"/>
        <v>0.37925182047904238</v>
      </c>
      <c r="O248" s="136"/>
      <c r="P248" s="80"/>
      <c r="Q248" s="77"/>
      <c r="R248" s="77"/>
      <c r="S248" s="80"/>
      <c r="T248" s="80"/>
    </row>
    <row r="249" spans="1:20">
      <c r="A249" t="s">
        <v>1328</v>
      </c>
      <c r="B249" t="s">
        <v>1800</v>
      </c>
      <c r="C249">
        <v>1644</v>
      </c>
      <c r="E249" s="69">
        <f t="shared" si="19"/>
        <v>0.6082725060827251</v>
      </c>
      <c r="F249" s="70">
        <f t="shared" si="15"/>
        <v>1.8721145814313455E-6</v>
      </c>
      <c r="G249" s="70">
        <f t="shared" si="16"/>
        <v>1.7829662680298527E-7</v>
      </c>
      <c r="M249" s="70">
        <f t="shared" si="17"/>
        <v>2.4908038764377046E-14</v>
      </c>
      <c r="N249" s="206">
        <f t="shared" si="18"/>
        <v>0.10034947804646195</v>
      </c>
      <c r="O249" s="136"/>
      <c r="P249" s="80"/>
      <c r="Q249" s="77"/>
      <c r="R249" s="77"/>
      <c r="S249" s="80"/>
      <c r="T249" s="80"/>
    </row>
    <row r="250" spans="1:20">
      <c r="A250" t="s">
        <v>1329</v>
      </c>
      <c r="B250" t="s">
        <v>1801</v>
      </c>
      <c r="C250">
        <v>750</v>
      </c>
      <c r="E250" s="69">
        <f t="shared" si="19"/>
        <v>1.3333333333333333</v>
      </c>
      <c r="F250" s="70">
        <f t="shared" si="15"/>
        <v>4.1036751624975087E-6</v>
      </c>
      <c r="G250" s="70">
        <f t="shared" si="16"/>
        <v>3.9082620595214371E-7</v>
      </c>
      <c r="M250" s="70">
        <f t="shared" si="17"/>
        <v>5.4598420971514475E-14</v>
      </c>
      <c r="N250" s="206">
        <f t="shared" si="18"/>
        <v>0.21996605587784457</v>
      </c>
      <c r="O250" s="136"/>
      <c r="P250" s="80"/>
      <c r="Q250" s="77"/>
      <c r="R250" s="77"/>
      <c r="S250" s="80"/>
      <c r="T250" s="80"/>
    </row>
    <row r="251" spans="1:20">
      <c r="A251" t="s">
        <v>1330</v>
      </c>
      <c r="B251" t="s">
        <v>1802</v>
      </c>
      <c r="C251">
        <v>820</v>
      </c>
      <c r="E251" s="69">
        <f t="shared" si="19"/>
        <v>1.2195121951219512</v>
      </c>
      <c r="F251" s="70">
        <f t="shared" si="15"/>
        <v>3.7533614291135753E-6</v>
      </c>
      <c r="G251" s="70">
        <f t="shared" si="16"/>
        <v>3.5746299324891189E-7</v>
      </c>
      <c r="M251" s="70">
        <f t="shared" si="17"/>
        <v>4.9937580156873E-14</v>
      </c>
      <c r="N251" s="206">
        <f t="shared" si="18"/>
        <v>0.201188465741931</v>
      </c>
      <c r="O251" s="136"/>
      <c r="P251" s="80"/>
      <c r="Q251" s="77"/>
      <c r="R251" s="77"/>
      <c r="S251" s="80"/>
      <c r="T251" s="80"/>
    </row>
    <row r="252" spans="1:20">
      <c r="A252" t="s">
        <v>1331</v>
      </c>
      <c r="B252" t="s">
        <v>1803</v>
      </c>
      <c r="C252">
        <v>769</v>
      </c>
      <c r="E252" s="69">
        <f t="shared" si="19"/>
        <v>1.3003901170351106</v>
      </c>
      <c r="F252" s="70">
        <f t="shared" si="15"/>
        <v>4.0022839686256593E-6</v>
      </c>
      <c r="G252" s="70">
        <f t="shared" si="16"/>
        <v>3.8116990177387231E-7</v>
      </c>
      <c r="M252" s="70">
        <f t="shared" si="17"/>
        <v>5.3249435277809965E-14</v>
      </c>
      <c r="N252" s="206">
        <f t="shared" si="18"/>
        <v>0.2145312638600565</v>
      </c>
      <c r="O252" s="136"/>
      <c r="P252" s="80"/>
      <c r="Q252" s="77"/>
      <c r="R252" s="77"/>
      <c r="S252" s="80"/>
      <c r="T252" s="80"/>
    </row>
    <row r="253" spans="1:20">
      <c r="A253" t="s">
        <v>1332</v>
      </c>
      <c r="B253" t="s">
        <v>1804</v>
      </c>
      <c r="C253">
        <v>320</v>
      </c>
      <c r="E253" s="69">
        <f t="shared" si="19"/>
        <v>3.125</v>
      </c>
      <c r="F253" s="70">
        <f t="shared" si="15"/>
        <v>9.617988662103536E-6</v>
      </c>
      <c r="G253" s="70">
        <f t="shared" si="16"/>
        <v>9.1599892020033674E-7</v>
      </c>
      <c r="M253" s="70">
        <f t="shared" si="17"/>
        <v>1.2796504915198705E-13</v>
      </c>
      <c r="N253" s="206">
        <f t="shared" si="18"/>
        <v>0.51554544346369824</v>
      </c>
      <c r="O253" s="136"/>
      <c r="P253" s="80"/>
      <c r="Q253" s="77"/>
      <c r="R253" s="77"/>
      <c r="S253" s="80"/>
      <c r="T253" s="80"/>
    </row>
    <row r="254" spans="1:20">
      <c r="A254" t="s">
        <v>1333</v>
      </c>
      <c r="B254" t="s">
        <v>1805</v>
      </c>
      <c r="C254">
        <v>62</v>
      </c>
      <c r="E254" s="69">
        <f t="shared" si="19"/>
        <v>16.129032258064516</v>
      </c>
      <c r="F254" s="70">
        <f t="shared" si="15"/>
        <v>4.9641231804405357E-5</v>
      </c>
      <c r="G254" s="70">
        <f t="shared" si="16"/>
        <v>4.7277363623243188E-6</v>
      </c>
      <c r="M254" s="70">
        <f t="shared" si="17"/>
        <v>6.6046476981670738E-13</v>
      </c>
      <c r="N254" s="206">
        <f t="shared" si="18"/>
        <v>2.6608797081997326</v>
      </c>
      <c r="O254" s="136"/>
      <c r="P254" s="80"/>
      <c r="Q254" s="77"/>
      <c r="R254" s="77"/>
      <c r="S254" s="80"/>
      <c r="T254" s="80"/>
    </row>
    <row r="255" spans="1:20">
      <c r="A255" t="s">
        <v>1334</v>
      </c>
      <c r="B255" t="s">
        <v>1806</v>
      </c>
      <c r="C255">
        <v>1360</v>
      </c>
      <c r="E255" s="69">
        <f t="shared" si="19"/>
        <v>0.73529411764705876</v>
      </c>
      <c r="F255" s="70">
        <f t="shared" si="15"/>
        <v>2.263056155789067E-6</v>
      </c>
      <c r="G255" s="70">
        <f t="shared" si="16"/>
        <v>2.155291576941969E-7</v>
      </c>
      <c r="M255" s="70">
        <f t="shared" si="17"/>
        <v>3.0109423329879303E-14</v>
      </c>
      <c r="N255" s="206">
        <f t="shared" si="18"/>
        <v>0.12130481022675249</v>
      </c>
      <c r="O255" s="136"/>
      <c r="P255" s="80"/>
      <c r="Q255" s="77"/>
      <c r="R255" s="77"/>
      <c r="S255" s="80"/>
      <c r="T255" s="80"/>
    </row>
    <row r="256" spans="1:20">
      <c r="A256" t="s">
        <v>1335</v>
      </c>
      <c r="B256" t="s">
        <v>1807</v>
      </c>
      <c r="C256">
        <v>1670</v>
      </c>
      <c r="E256" s="69">
        <f t="shared" si="19"/>
        <v>0.59880239520958078</v>
      </c>
      <c r="F256" s="70">
        <f t="shared" si="15"/>
        <v>1.8429678873491805E-6</v>
      </c>
      <c r="G256" s="70">
        <f t="shared" si="16"/>
        <v>1.7552075117611241E-7</v>
      </c>
      <c r="M256" s="70">
        <f t="shared" si="17"/>
        <v>2.4520248939302904E-14</v>
      </c>
      <c r="N256" s="206">
        <f t="shared" si="18"/>
        <v>9.8787150843343358E-2</v>
      </c>
      <c r="O256" s="136"/>
      <c r="P256" s="80"/>
      <c r="Q256" s="77"/>
      <c r="R256" s="77"/>
      <c r="S256" s="80"/>
      <c r="T256" s="80"/>
    </row>
    <row r="257" spans="1:20">
      <c r="A257" t="s">
        <v>1336</v>
      </c>
      <c r="B257" t="s">
        <v>1808</v>
      </c>
      <c r="C257">
        <v>1012</v>
      </c>
      <c r="E257" s="69">
        <f t="shared" si="19"/>
        <v>0.98814229249011853</v>
      </c>
      <c r="F257" s="70">
        <f t="shared" si="15"/>
        <v>3.0412612370287863E-6</v>
      </c>
      <c r="G257" s="70">
        <f t="shared" si="16"/>
        <v>2.8964392733607488E-7</v>
      </c>
      <c r="M257" s="70">
        <f t="shared" si="17"/>
        <v>4.0463256648849662E-14</v>
      </c>
      <c r="N257" s="206">
        <f t="shared" si="18"/>
        <v>0.16301832204385713</v>
      </c>
      <c r="O257" s="136"/>
      <c r="P257" s="80"/>
      <c r="Q257" s="77"/>
      <c r="R257" s="77"/>
      <c r="S257" s="80"/>
      <c r="T257" s="80"/>
    </row>
    <row r="258" spans="1:20">
      <c r="A258" t="s">
        <v>1337</v>
      </c>
      <c r="B258" s="45" t="s">
        <v>1847</v>
      </c>
      <c r="C258">
        <v>816</v>
      </c>
      <c r="E258" s="69">
        <f t="shared" si="19"/>
        <v>1.2254901960784315</v>
      </c>
      <c r="F258" s="70">
        <f t="shared" ref="F258:F303" si="20">18000/2360000000*35*E258/averagepesticidepotency</f>
        <v>3.7717602596484461E-6</v>
      </c>
      <c r="G258" s="70">
        <f t="shared" ref="G258:G303" si="21">3000000*0.02/2360000000*E258/averagepesticidepotency</f>
        <v>3.5921526282366154E-7</v>
      </c>
      <c r="M258" s="70">
        <f t="shared" ref="M258:M303" si="22">0.008382/2360000000*E258/averagepesticidepotency</f>
        <v>5.0182372216465518E-14</v>
      </c>
      <c r="N258" s="206">
        <f t="shared" ref="N258:N303" si="23">F258*YOLLvalue+G258*poisoningvalue+H258*As_orevalue+I258*Cu_orevalue+J258*Hg_orevalue+K258*Pb_orevalue+L258*Zn_orevalue+M258*speciesvalue</f>
        <v>0.20217468371125422</v>
      </c>
      <c r="O258" s="136"/>
      <c r="P258" s="80"/>
      <c r="Q258" s="77"/>
      <c r="R258" s="77"/>
      <c r="S258" s="80"/>
      <c r="T258" s="80"/>
    </row>
    <row r="259" spans="1:20">
      <c r="A259" t="s">
        <v>1338</v>
      </c>
      <c r="B259" t="s">
        <v>1809</v>
      </c>
      <c r="C259">
        <v>1830</v>
      </c>
      <c r="E259" s="69">
        <f t="shared" ref="E259:E303" si="24">1/C259*1000</f>
        <v>0.54644808743169404</v>
      </c>
      <c r="F259" s="70">
        <f t="shared" si="20"/>
        <v>1.6818340829907824E-6</v>
      </c>
      <c r="G259" s="70">
        <f t="shared" si="21"/>
        <v>1.6017467457055072E-7</v>
      </c>
      <c r="M259" s="70">
        <f t="shared" si="22"/>
        <v>2.2376402037505937E-14</v>
      </c>
      <c r="N259" s="206">
        <f t="shared" si="23"/>
        <v>9.015002290075598E-2</v>
      </c>
      <c r="O259" s="136"/>
      <c r="P259" s="80"/>
      <c r="Q259" s="77"/>
      <c r="R259" s="77"/>
      <c r="S259" s="80"/>
      <c r="T259" s="80"/>
    </row>
    <row r="260" spans="1:20">
      <c r="A260" t="s">
        <v>1131</v>
      </c>
      <c r="B260" t="s">
        <v>1810</v>
      </c>
      <c r="C260">
        <v>10</v>
      </c>
      <c r="D260" t="s">
        <v>1090</v>
      </c>
      <c r="E260" s="69">
        <f t="shared" si="24"/>
        <v>100</v>
      </c>
      <c r="F260" s="70">
        <f t="shared" si="20"/>
        <v>3.0777563718731315E-4</v>
      </c>
      <c r="G260" s="70">
        <f t="shared" si="21"/>
        <v>2.9311965446410776E-5</v>
      </c>
      <c r="M260" s="70">
        <f t="shared" si="22"/>
        <v>4.0948815728635857E-12</v>
      </c>
      <c r="N260" s="206">
        <f t="shared" si="23"/>
        <v>16.497454190838344</v>
      </c>
      <c r="O260" s="136"/>
      <c r="P260" s="80"/>
      <c r="Q260" s="77"/>
      <c r="R260" s="77"/>
      <c r="S260" s="80"/>
      <c r="T260" s="80"/>
    </row>
    <row r="261" spans="1:20">
      <c r="A261" t="s">
        <v>1339</v>
      </c>
      <c r="B261" s="77" t="s">
        <v>1562</v>
      </c>
      <c r="C261">
        <v>1200</v>
      </c>
      <c r="E261" s="69">
        <f t="shared" si="24"/>
        <v>0.83333333333333337</v>
      </c>
      <c r="F261" s="70">
        <f t="shared" si="20"/>
        <v>2.5647969765609434E-6</v>
      </c>
      <c r="G261" s="70">
        <f t="shared" si="21"/>
        <v>2.4426637872008986E-7</v>
      </c>
      <c r="M261" s="70">
        <f t="shared" si="22"/>
        <v>3.4124013107196548E-14</v>
      </c>
      <c r="N261" s="206">
        <f t="shared" si="23"/>
        <v>0.13747878492365287</v>
      </c>
      <c r="O261" s="136"/>
      <c r="P261" s="80"/>
      <c r="Q261" s="77"/>
      <c r="R261" s="77"/>
      <c r="S261" s="80"/>
      <c r="T261" s="80"/>
    </row>
    <row r="262" spans="1:20">
      <c r="A262" t="s">
        <v>1132</v>
      </c>
      <c r="B262" t="s">
        <v>1811</v>
      </c>
      <c r="C262">
        <v>6</v>
      </c>
      <c r="E262" s="69">
        <f t="shared" si="24"/>
        <v>166.66666666666666</v>
      </c>
      <c r="F262" s="70">
        <f t="shared" si="20"/>
        <v>5.1295939531218859E-4</v>
      </c>
      <c r="G262" s="70">
        <f t="shared" si="21"/>
        <v>4.8853275744017966E-5</v>
      </c>
      <c r="M262" s="70">
        <f t="shared" si="22"/>
        <v>6.8248026214393094E-12</v>
      </c>
      <c r="N262" s="206">
        <f t="shared" si="23"/>
        <v>27.495756984730566</v>
      </c>
      <c r="O262" s="136"/>
      <c r="P262" s="80"/>
      <c r="Q262" s="77"/>
      <c r="R262" s="77"/>
      <c r="S262" s="80"/>
      <c r="T262" s="80"/>
    </row>
    <row r="263" spans="1:20">
      <c r="A263" t="s">
        <v>1075</v>
      </c>
      <c r="B263" t="s">
        <v>1812</v>
      </c>
      <c r="C263">
        <v>0.2</v>
      </c>
      <c r="E263" s="69">
        <f t="shared" si="24"/>
        <v>5000</v>
      </c>
      <c r="F263" s="70">
        <f t="shared" si="20"/>
        <v>1.5388781859365659E-2</v>
      </c>
      <c r="G263" s="70">
        <f t="shared" si="21"/>
        <v>1.4655982723205388E-3</v>
      </c>
      <c r="M263" s="70">
        <f t="shared" si="22"/>
        <v>2.047440786431793E-10</v>
      </c>
      <c r="N263" s="206">
        <f t="shared" si="23"/>
        <v>824.87270954191717</v>
      </c>
      <c r="O263" s="136"/>
      <c r="P263" s="80"/>
      <c r="Q263" s="77"/>
      <c r="R263" s="77"/>
      <c r="S263" s="80"/>
      <c r="T263" s="80"/>
    </row>
    <row r="264" spans="1:20">
      <c r="A264" t="s">
        <v>1340</v>
      </c>
      <c r="B264" t="s">
        <v>1341</v>
      </c>
      <c r="C264">
        <v>500</v>
      </c>
      <c r="E264" s="69">
        <f t="shared" si="24"/>
        <v>2</v>
      </c>
      <c r="F264" s="70">
        <f t="shared" si="20"/>
        <v>6.1555127437462631E-6</v>
      </c>
      <c r="G264" s="70">
        <f t="shared" si="21"/>
        <v>5.8623930892821551E-7</v>
      </c>
      <c r="M264" s="70">
        <f t="shared" si="22"/>
        <v>8.1897631457271719E-14</v>
      </c>
      <c r="N264" s="206">
        <f t="shared" si="23"/>
        <v>0.32994908381676685</v>
      </c>
      <c r="O264" s="136"/>
      <c r="P264" s="80"/>
      <c r="Q264" s="77"/>
      <c r="R264" s="77"/>
      <c r="S264" s="80"/>
      <c r="T264" s="80"/>
    </row>
    <row r="265" spans="1:20">
      <c r="A265" t="s">
        <v>1133</v>
      </c>
      <c r="B265" t="s">
        <v>1813</v>
      </c>
      <c r="C265">
        <v>16</v>
      </c>
      <c r="E265" s="69">
        <f t="shared" si="24"/>
        <v>62.5</v>
      </c>
      <c r="F265" s="70">
        <f t="shared" si="20"/>
        <v>1.9235977324207073E-4</v>
      </c>
      <c r="G265" s="70">
        <f t="shared" si="21"/>
        <v>1.8319978404006734E-5</v>
      </c>
      <c r="M265" s="70">
        <f t="shared" si="22"/>
        <v>2.5593009830397411E-12</v>
      </c>
      <c r="N265" s="206">
        <f t="shared" si="23"/>
        <v>10.310908869273964</v>
      </c>
      <c r="O265" s="136"/>
      <c r="P265" s="80"/>
      <c r="Q265" s="77"/>
      <c r="R265" s="77"/>
      <c r="S265" s="80"/>
      <c r="T265" s="80"/>
    </row>
    <row r="266" spans="1:20">
      <c r="A266" t="s">
        <v>1342</v>
      </c>
      <c r="B266" t="s">
        <v>1814</v>
      </c>
      <c r="C266">
        <v>543</v>
      </c>
      <c r="E266" s="69">
        <f t="shared" si="24"/>
        <v>1.8416206261510129</v>
      </c>
      <c r="F266" s="70">
        <f t="shared" si="20"/>
        <v>5.6680596167092665E-6</v>
      </c>
      <c r="G266" s="70">
        <f t="shared" si="21"/>
        <v>5.3981520159135868E-7</v>
      </c>
      <c r="M266" s="70">
        <f t="shared" si="22"/>
        <v>7.5412183662312819E-14</v>
      </c>
      <c r="N266" s="206">
        <f t="shared" si="23"/>
        <v>0.30382051916829361</v>
      </c>
      <c r="O266" s="136"/>
      <c r="P266" s="80"/>
      <c r="Q266" s="77"/>
      <c r="R266" s="77"/>
      <c r="S266" s="80"/>
      <c r="T266" s="80"/>
    </row>
    <row r="267" spans="1:20">
      <c r="A267" t="s">
        <v>1076</v>
      </c>
      <c r="B267" t="s">
        <v>1815</v>
      </c>
      <c r="C267">
        <v>5</v>
      </c>
      <c r="E267" s="69">
        <f t="shared" si="24"/>
        <v>200</v>
      </c>
      <c r="F267" s="70">
        <f t="shared" si="20"/>
        <v>6.1555127437462631E-4</v>
      </c>
      <c r="G267" s="70">
        <f t="shared" si="21"/>
        <v>5.8623930892821551E-5</v>
      </c>
      <c r="M267" s="70">
        <f t="shared" si="22"/>
        <v>8.1897631457271713E-12</v>
      </c>
      <c r="N267" s="206">
        <f t="shared" si="23"/>
        <v>32.994908381676687</v>
      </c>
      <c r="O267" s="136"/>
      <c r="P267" s="80"/>
      <c r="Q267" s="77"/>
      <c r="R267" s="77"/>
      <c r="S267" s="80"/>
      <c r="T267" s="80"/>
    </row>
    <row r="268" spans="1:20">
      <c r="A268" t="s">
        <v>1344</v>
      </c>
      <c r="B268" s="79" t="s">
        <v>1563</v>
      </c>
      <c r="C268">
        <v>400</v>
      </c>
      <c r="E268" s="69">
        <f t="shared" si="24"/>
        <v>2.5</v>
      </c>
      <c r="F268" s="70">
        <f t="shared" si="20"/>
        <v>7.6943909296828288E-6</v>
      </c>
      <c r="G268" s="70">
        <f t="shared" si="21"/>
        <v>7.3279913616026947E-7</v>
      </c>
      <c r="M268" s="70">
        <f t="shared" si="22"/>
        <v>1.0237203932158965E-13</v>
      </c>
      <c r="N268" s="206">
        <f t="shared" si="23"/>
        <v>0.41243635477095852</v>
      </c>
      <c r="O268" s="136"/>
      <c r="P268" s="80"/>
      <c r="Q268" s="77"/>
      <c r="R268" s="77"/>
      <c r="S268" s="80"/>
      <c r="T268" s="80"/>
    </row>
    <row r="269" spans="1:20">
      <c r="A269" t="s">
        <v>1345</v>
      </c>
      <c r="B269" t="s">
        <v>1816</v>
      </c>
      <c r="C269">
        <v>1700</v>
      </c>
      <c r="E269" s="69">
        <f t="shared" si="24"/>
        <v>0.58823529411764697</v>
      </c>
      <c r="F269" s="70">
        <f t="shared" si="20"/>
        <v>1.8104449246312538E-6</v>
      </c>
      <c r="G269" s="70">
        <f t="shared" si="21"/>
        <v>1.7242332615535749E-7</v>
      </c>
      <c r="M269" s="70">
        <f t="shared" si="22"/>
        <v>2.4087538663903444E-14</v>
      </c>
      <c r="N269" s="206">
        <f t="shared" si="23"/>
        <v>9.7043848181402007E-2</v>
      </c>
      <c r="O269" s="136"/>
      <c r="P269" s="80"/>
      <c r="Q269" s="77"/>
      <c r="R269" s="77"/>
      <c r="S269" s="80"/>
      <c r="T269" s="80"/>
    </row>
    <row r="270" spans="1:20">
      <c r="A270" t="s">
        <v>1346</v>
      </c>
      <c r="B270" t="s">
        <v>1817</v>
      </c>
      <c r="C270">
        <v>595</v>
      </c>
      <c r="E270" s="69">
        <f t="shared" si="24"/>
        <v>1.680672268907563</v>
      </c>
      <c r="F270" s="70">
        <f t="shared" si="20"/>
        <v>5.1726997846607252E-6</v>
      </c>
      <c r="G270" s="70">
        <f t="shared" si="21"/>
        <v>4.9263807472959289E-7</v>
      </c>
      <c r="M270" s="70">
        <f t="shared" si="22"/>
        <v>6.8821539039724143E-14</v>
      </c>
      <c r="N270" s="206">
        <f t="shared" si="23"/>
        <v>0.27726813766114861</v>
      </c>
      <c r="O270" s="136"/>
      <c r="P270" s="80"/>
      <c r="Q270" s="77"/>
      <c r="R270" s="77"/>
      <c r="S270" s="80"/>
      <c r="T270" s="80"/>
    </row>
    <row r="271" spans="1:20">
      <c r="A271" t="s">
        <v>1077</v>
      </c>
      <c r="B271" t="s">
        <v>1818</v>
      </c>
      <c r="C271">
        <v>1.3</v>
      </c>
      <c r="E271" s="69">
        <f t="shared" si="24"/>
        <v>769.23076923076917</v>
      </c>
      <c r="F271" s="70">
        <f t="shared" si="20"/>
        <v>2.3675049014408702E-3</v>
      </c>
      <c r="G271" s="70">
        <f t="shared" si="21"/>
        <v>2.2547665728008288E-4</v>
      </c>
      <c r="M271" s="70">
        <f t="shared" si="22"/>
        <v>3.1499089022027579E-11</v>
      </c>
      <c r="N271" s="206">
        <f t="shared" si="23"/>
        <v>126.90349377567954</v>
      </c>
      <c r="O271" s="136"/>
      <c r="P271" s="80"/>
      <c r="Q271" s="77"/>
      <c r="R271" s="77"/>
      <c r="S271" s="80"/>
      <c r="T271" s="80"/>
    </row>
    <row r="272" spans="1:20">
      <c r="A272" t="s">
        <v>1347</v>
      </c>
      <c r="B272" t="s">
        <v>1819</v>
      </c>
      <c r="C272">
        <v>644</v>
      </c>
      <c r="E272" s="69">
        <f t="shared" si="24"/>
        <v>1.5527950310559004</v>
      </c>
      <c r="F272" s="70">
        <f t="shared" si="20"/>
        <v>4.7791248010452351E-6</v>
      </c>
      <c r="G272" s="70">
        <f t="shared" si="21"/>
        <v>4.5515474295668903E-7</v>
      </c>
      <c r="M272" s="70">
        <f t="shared" si="22"/>
        <v>6.3585117591049463E-14</v>
      </c>
      <c r="N272" s="206">
        <f t="shared" si="23"/>
        <v>0.25617164892606126</v>
      </c>
      <c r="O272" s="136"/>
      <c r="P272" s="80"/>
      <c r="Q272" s="77"/>
      <c r="R272" s="77"/>
      <c r="S272" s="80"/>
      <c r="T272" s="80"/>
    </row>
    <row r="273" spans="1:20">
      <c r="A273" t="s">
        <v>1134</v>
      </c>
      <c r="B273" t="s">
        <v>1820</v>
      </c>
      <c r="C273">
        <v>22</v>
      </c>
      <c r="E273" s="69">
        <f t="shared" si="24"/>
        <v>45.454545454545453</v>
      </c>
      <c r="F273" s="70">
        <f t="shared" si="20"/>
        <v>1.3989801690332415E-4</v>
      </c>
      <c r="G273" s="70">
        <f t="shared" si="21"/>
        <v>1.3323620657459444E-5</v>
      </c>
      <c r="M273" s="70">
        <f t="shared" si="22"/>
        <v>1.8613098058470846E-12</v>
      </c>
      <c r="N273" s="206">
        <f t="shared" si="23"/>
        <v>7.4988428140174275</v>
      </c>
      <c r="O273" s="136"/>
      <c r="P273" s="80"/>
      <c r="Q273" s="77"/>
      <c r="R273" s="77"/>
      <c r="S273" s="80"/>
      <c r="T273" s="80"/>
    </row>
    <row r="274" spans="1:20">
      <c r="A274" t="s">
        <v>1078</v>
      </c>
      <c r="B274" t="s">
        <v>1821</v>
      </c>
      <c r="C274">
        <v>2</v>
      </c>
      <c r="E274" s="69">
        <f t="shared" si="24"/>
        <v>500</v>
      </c>
      <c r="F274" s="70">
        <f t="shared" si="20"/>
        <v>1.5388781859365659E-3</v>
      </c>
      <c r="G274" s="70">
        <f t="shared" si="21"/>
        <v>1.4655982723205387E-4</v>
      </c>
      <c r="M274" s="70">
        <f t="shared" si="22"/>
        <v>2.0474407864317929E-11</v>
      </c>
      <c r="N274" s="206">
        <f t="shared" si="23"/>
        <v>82.487270954191715</v>
      </c>
      <c r="O274" s="136"/>
      <c r="P274" s="80"/>
      <c r="Q274" s="77"/>
      <c r="R274" s="77"/>
      <c r="S274" s="80"/>
      <c r="T274" s="80"/>
    </row>
    <row r="275" spans="1:20">
      <c r="A275" t="s">
        <v>1348</v>
      </c>
      <c r="B275" t="s">
        <v>1822</v>
      </c>
      <c r="C275">
        <v>483</v>
      </c>
      <c r="E275" s="69">
        <f t="shared" si="24"/>
        <v>2.0703933747412009</v>
      </c>
      <c r="F275" s="70">
        <f t="shared" si="20"/>
        <v>6.3721664013936477E-6</v>
      </c>
      <c r="G275" s="70">
        <f t="shared" si="21"/>
        <v>6.0687299060891888E-7</v>
      </c>
      <c r="M275" s="70">
        <f t="shared" si="22"/>
        <v>8.4780156788065951E-14</v>
      </c>
      <c r="N275" s="206">
        <f t="shared" si="23"/>
        <v>0.34156219856808162</v>
      </c>
      <c r="O275" s="136"/>
      <c r="P275" s="80"/>
      <c r="Q275" s="77"/>
      <c r="R275" s="77"/>
      <c r="S275" s="80"/>
      <c r="T275" s="80"/>
    </row>
    <row r="276" spans="1:20">
      <c r="A276" t="s">
        <v>1349</v>
      </c>
      <c r="B276" t="s">
        <v>1823</v>
      </c>
      <c r="C276">
        <v>1031</v>
      </c>
      <c r="E276" s="69">
        <f t="shared" si="24"/>
        <v>0.96993210475266733</v>
      </c>
      <c r="F276" s="70">
        <f t="shared" si="20"/>
        <v>2.9852147156868399E-6</v>
      </c>
      <c r="G276" s="70">
        <f t="shared" si="21"/>
        <v>2.8430616339874662E-7</v>
      </c>
      <c r="M276" s="70">
        <f t="shared" si="22"/>
        <v>3.9717571026804909E-14</v>
      </c>
      <c r="N276" s="206">
        <f t="shared" si="23"/>
        <v>0.16001410466380545</v>
      </c>
      <c r="O276" s="136"/>
      <c r="P276" s="80"/>
      <c r="Q276" s="77"/>
      <c r="R276" s="77"/>
      <c r="S276" s="80"/>
      <c r="T276" s="80"/>
    </row>
    <row r="277" spans="1:20">
      <c r="A277" t="s">
        <v>1135</v>
      </c>
      <c r="B277" t="s">
        <v>1824</v>
      </c>
      <c r="C277">
        <v>11</v>
      </c>
      <c r="E277" s="69">
        <f t="shared" si="24"/>
        <v>90.909090909090907</v>
      </c>
      <c r="F277" s="70">
        <f t="shared" si="20"/>
        <v>2.7979603380664831E-4</v>
      </c>
      <c r="G277" s="70">
        <f t="shared" si="21"/>
        <v>2.6647241314918888E-5</v>
      </c>
      <c r="M277" s="70">
        <f t="shared" si="22"/>
        <v>3.7226196116941693E-12</v>
      </c>
      <c r="N277" s="206">
        <f t="shared" si="23"/>
        <v>14.997685628034855</v>
      </c>
      <c r="O277" s="136"/>
      <c r="P277" s="80"/>
      <c r="Q277" s="77"/>
      <c r="R277" s="77"/>
      <c r="S277" s="80"/>
      <c r="T277" s="80"/>
    </row>
    <row r="278" spans="1:20">
      <c r="A278" t="s">
        <v>1350</v>
      </c>
      <c r="B278" t="s">
        <v>1351</v>
      </c>
      <c r="C278">
        <v>396</v>
      </c>
      <c r="E278" s="69">
        <f t="shared" si="24"/>
        <v>2.5252525252525255</v>
      </c>
      <c r="F278" s="70">
        <f t="shared" si="20"/>
        <v>7.7721120501846769E-6</v>
      </c>
      <c r="G278" s="70">
        <f t="shared" si="21"/>
        <v>7.4020114763663584E-7</v>
      </c>
      <c r="M278" s="70">
        <f t="shared" si="22"/>
        <v>1.0340610032483805E-13</v>
      </c>
      <c r="N278" s="206">
        <f t="shared" si="23"/>
        <v>0.41660237855652382</v>
      </c>
      <c r="O278" s="136"/>
      <c r="P278" s="80"/>
      <c r="Q278" s="77"/>
      <c r="R278" s="77"/>
      <c r="S278" s="80"/>
      <c r="T278" s="80"/>
    </row>
    <row r="279" spans="1:20">
      <c r="A279" t="s">
        <v>1352</v>
      </c>
      <c r="B279" t="s">
        <v>1825</v>
      </c>
      <c r="C279">
        <v>1300</v>
      </c>
      <c r="E279" s="69">
        <f t="shared" si="24"/>
        <v>0.76923076923076927</v>
      </c>
      <c r="F279" s="70">
        <f t="shared" si="20"/>
        <v>2.3675049014408706E-6</v>
      </c>
      <c r="G279" s="70">
        <f t="shared" si="21"/>
        <v>2.2547665728008291E-7</v>
      </c>
      <c r="M279" s="70">
        <f t="shared" si="22"/>
        <v>3.1499089022027588E-14</v>
      </c>
      <c r="N279" s="206">
        <f t="shared" si="23"/>
        <v>0.12690349377567955</v>
      </c>
      <c r="O279" s="136"/>
      <c r="P279" s="80"/>
      <c r="Q279" s="77"/>
      <c r="R279" s="77"/>
      <c r="S279" s="80"/>
      <c r="T279" s="80"/>
    </row>
    <row r="280" spans="1:20">
      <c r="A280" t="s">
        <v>1353</v>
      </c>
      <c r="B280" t="s">
        <v>1826</v>
      </c>
      <c r="C280">
        <v>310</v>
      </c>
      <c r="E280" s="69">
        <f t="shared" si="24"/>
        <v>3.225806451612903</v>
      </c>
      <c r="F280" s="70">
        <f t="shared" si="20"/>
        <v>9.928246360881069E-6</v>
      </c>
      <c r="G280" s="70">
        <f t="shared" si="21"/>
        <v>9.455472724648637E-7</v>
      </c>
      <c r="M280" s="70">
        <f t="shared" si="22"/>
        <v>1.3209295396334145E-13</v>
      </c>
      <c r="N280" s="206">
        <f t="shared" si="23"/>
        <v>0.53217594163994641</v>
      </c>
      <c r="O280" s="136"/>
      <c r="P280" s="80"/>
      <c r="Q280" s="77"/>
      <c r="R280" s="77"/>
      <c r="S280" s="80"/>
      <c r="T280" s="80"/>
    </row>
    <row r="281" spans="1:20">
      <c r="A281" t="s">
        <v>1354</v>
      </c>
      <c r="B281" t="s">
        <v>1827</v>
      </c>
      <c r="C281">
        <v>66</v>
      </c>
      <c r="E281" s="69">
        <f t="shared" si="24"/>
        <v>15.151515151515152</v>
      </c>
      <c r="F281" s="70">
        <f t="shared" si="20"/>
        <v>4.6632672301108051E-5</v>
      </c>
      <c r="G281" s="70">
        <f t="shared" si="21"/>
        <v>4.4412068858198146E-6</v>
      </c>
      <c r="M281" s="70">
        <f t="shared" si="22"/>
        <v>6.2043660194902815E-13</v>
      </c>
      <c r="N281" s="206">
        <f t="shared" si="23"/>
        <v>2.4996142713391425</v>
      </c>
      <c r="O281" s="136"/>
      <c r="P281" s="80"/>
      <c r="Q281" s="77"/>
      <c r="R281" s="77"/>
      <c r="S281" s="80"/>
      <c r="T281" s="80"/>
    </row>
    <row r="282" spans="1:20">
      <c r="A282" t="s">
        <v>1136</v>
      </c>
      <c r="B282" t="s">
        <v>1828</v>
      </c>
      <c r="C282">
        <v>8</v>
      </c>
      <c r="E282" s="69">
        <f t="shared" si="24"/>
        <v>125</v>
      </c>
      <c r="F282" s="70">
        <f t="shared" si="20"/>
        <v>3.8471954648414147E-4</v>
      </c>
      <c r="G282" s="70">
        <f t="shared" si="21"/>
        <v>3.6639956808013468E-5</v>
      </c>
      <c r="M282" s="70">
        <f t="shared" si="22"/>
        <v>5.1186019660794823E-12</v>
      </c>
      <c r="N282" s="206">
        <f t="shared" si="23"/>
        <v>20.621817738547929</v>
      </c>
      <c r="O282" s="136"/>
      <c r="P282" s="80"/>
      <c r="Q282" s="77"/>
      <c r="R282" s="77"/>
      <c r="S282" s="80"/>
      <c r="T282" s="80"/>
    </row>
    <row r="283" spans="1:20">
      <c r="A283" t="s">
        <v>1137</v>
      </c>
      <c r="B283" t="s">
        <v>1829</v>
      </c>
      <c r="C283">
        <v>120</v>
      </c>
      <c r="E283" s="69">
        <f t="shared" si="24"/>
        <v>8.3333333333333339</v>
      </c>
      <c r="F283" s="70">
        <f t="shared" si="20"/>
        <v>2.5647969765609433E-5</v>
      </c>
      <c r="G283" s="70">
        <f t="shared" si="21"/>
        <v>2.4426637872008984E-6</v>
      </c>
      <c r="M283" s="70">
        <f t="shared" si="22"/>
        <v>3.4124013107196547E-13</v>
      </c>
      <c r="N283" s="206">
        <f t="shared" si="23"/>
        <v>1.3747878492365286</v>
      </c>
      <c r="O283" s="136"/>
      <c r="P283" s="80"/>
      <c r="Q283" s="77"/>
      <c r="R283" s="77"/>
      <c r="S283" s="80"/>
      <c r="T283" s="80"/>
    </row>
    <row r="284" spans="1:20">
      <c r="A284" t="s">
        <v>1355</v>
      </c>
      <c r="B284" t="s">
        <v>1830</v>
      </c>
      <c r="C284">
        <v>560</v>
      </c>
      <c r="D284" t="s">
        <v>1356</v>
      </c>
      <c r="E284" s="69">
        <f t="shared" si="24"/>
        <v>1.7857142857142856</v>
      </c>
      <c r="F284" s="70">
        <f t="shared" si="20"/>
        <v>5.4959935212020208E-6</v>
      </c>
      <c r="G284" s="70">
        <f t="shared" si="21"/>
        <v>5.2342795440019248E-7</v>
      </c>
      <c r="M284" s="70">
        <f t="shared" si="22"/>
        <v>7.3122885229706892E-14</v>
      </c>
      <c r="N284" s="206">
        <f t="shared" si="23"/>
        <v>0.29459739626497039</v>
      </c>
      <c r="O284" s="136"/>
      <c r="P284" s="80"/>
      <c r="Q284" s="77"/>
      <c r="R284" s="77"/>
      <c r="S284" s="80"/>
      <c r="T284" s="80"/>
    </row>
    <row r="285" spans="1:20">
      <c r="A285" t="s">
        <v>1357</v>
      </c>
      <c r="B285" t="s">
        <v>1831</v>
      </c>
      <c r="C285">
        <v>934</v>
      </c>
      <c r="E285" s="69">
        <f t="shared" si="24"/>
        <v>1.0706638115631693</v>
      </c>
      <c r="F285" s="70">
        <f t="shared" si="20"/>
        <v>3.2952423681725183E-6</v>
      </c>
      <c r="G285" s="70">
        <f t="shared" si="21"/>
        <v>3.1383260649262079E-7</v>
      </c>
      <c r="M285" s="70">
        <f t="shared" si="22"/>
        <v>4.384241512701912E-14</v>
      </c>
      <c r="N285" s="206">
        <f t="shared" si="23"/>
        <v>0.17663227185051764</v>
      </c>
      <c r="O285" s="136"/>
      <c r="P285" s="80"/>
      <c r="Q285" s="77"/>
      <c r="R285" s="77"/>
      <c r="S285" s="80"/>
      <c r="T285" s="80"/>
    </row>
    <row r="286" spans="1:20">
      <c r="A286" t="s">
        <v>1358</v>
      </c>
      <c r="B286" t="s">
        <v>1832</v>
      </c>
      <c r="C286">
        <v>85</v>
      </c>
      <c r="E286" s="69">
        <f t="shared" si="24"/>
        <v>11.76470588235294</v>
      </c>
      <c r="F286" s="70">
        <f t="shared" si="20"/>
        <v>3.6208898492625071E-5</v>
      </c>
      <c r="G286" s="70">
        <f t="shared" si="21"/>
        <v>3.4484665231071504E-6</v>
      </c>
      <c r="M286" s="70">
        <f t="shared" si="22"/>
        <v>4.8175077327806885E-13</v>
      </c>
      <c r="N286" s="206">
        <f t="shared" si="23"/>
        <v>1.9408769636280399</v>
      </c>
      <c r="O286" s="136"/>
      <c r="P286" s="80"/>
      <c r="Q286" s="77"/>
      <c r="R286" s="77"/>
      <c r="S286" s="80"/>
      <c r="T286" s="80"/>
    </row>
    <row r="287" spans="1:20">
      <c r="A287" t="s">
        <v>1359</v>
      </c>
      <c r="B287" t="s">
        <v>1833</v>
      </c>
      <c r="C287">
        <v>602</v>
      </c>
      <c r="E287" s="69">
        <f t="shared" si="24"/>
        <v>1.6611295681063123</v>
      </c>
      <c r="F287" s="70">
        <f t="shared" si="20"/>
        <v>5.1125521127460657E-6</v>
      </c>
      <c r="G287" s="70">
        <f t="shared" si="21"/>
        <v>4.8690972502343483E-7</v>
      </c>
      <c r="M287" s="70">
        <f t="shared" si="22"/>
        <v>6.8021288585773858E-14</v>
      </c>
      <c r="N287" s="206">
        <f t="shared" si="23"/>
        <v>0.27404408954880966</v>
      </c>
      <c r="O287" s="136"/>
      <c r="P287" s="80"/>
      <c r="Q287" s="77"/>
      <c r="R287" s="77"/>
      <c r="S287" s="80"/>
      <c r="T287" s="80"/>
    </row>
    <row r="288" spans="1:20">
      <c r="A288" t="s">
        <v>1360</v>
      </c>
      <c r="B288" t="s">
        <v>1834</v>
      </c>
      <c r="C288">
        <v>900</v>
      </c>
      <c r="E288" s="69">
        <f t="shared" si="24"/>
        <v>1.1111111111111112</v>
      </c>
      <c r="F288" s="70">
        <f t="shared" si="20"/>
        <v>3.4197293020812574E-6</v>
      </c>
      <c r="G288" s="70">
        <f t="shared" si="21"/>
        <v>3.2568850496011976E-7</v>
      </c>
      <c r="M288" s="70">
        <f t="shared" si="22"/>
        <v>4.5498684142928733E-14</v>
      </c>
      <c r="N288" s="206">
        <f t="shared" si="23"/>
        <v>0.18330504656487048</v>
      </c>
      <c r="O288" s="136"/>
      <c r="P288" s="80"/>
      <c r="Q288" s="77"/>
      <c r="R288" s="77"/>
      <c r="S288" s="80"/>
      <c r="T288" s="80"/>
    </row>
    <row r="289" spans="1:24">
      <c r="A289" t="s">
        <v>1361</v>
      </c>
      <c r="B289" t="s">
        <v>1362</v>
      </c>
      <c r="C289">
        <v>75</v>
      </c>
      <c r="E289" s="69">
        <f t="shared" si="24"/>
        <v>13.333333333333334</v>
      </c>
      <c r="F289" s="70">
        <f t="shared" si="20"/>
        <v>4.1036751624975094E-5</v>
      </c>
      <c r="G289" s="70">
        <f t="shared" si="21"/>
        <v>3.9082620595214378E-6</v>
      </c>
      <c r="M289" s="70">
        <f t="shared" si="22"/>
        <v>5.4598420971514477E-13</v>
      </c>
      <c r="N289" s="206">
        <f t="shared" si="23"/>
        <v>2.1996605587784459</v>
      </c>
      <c r="O289" s="136"/>
      <c r="P289" s="80"/>
      <c r="Q289" s="77"/>
      <c r="R289" s="77"/>
      <c r="S289" s="80"/>
      <c r="T289" s="80"/>
    </row>
    <row r="290" spans="1:24">
      <c r="A290" t="s">
        <v>1138</v>
      </c>
      <c r="B290" t="s">
        <v>1835</v>
      </c>
      <c r="C290">
        <v>82</v>
      </c>
      <c r="E290" s="69">
        <f t="shared" si="24"/>
        <v>12.195121951219512</v>
      </c>
      <c r="F290" s="70">
        <f t="shared" si="20"/>
        <v>3.7533614291135755E-5</v>
      </c>
      <c r="G290" s="70">
        <f t="shared" si="21"/>
        <v>3.5746299324891194E-6</v>
      </c>
      <c r="M290" s="70">
        <f t="shared" si="22"/>
        <v>4.9937580156873E-13</v>
      </c>
      <c r="N290" s="206">
        <f t="shared" si="23"/>
        <v>2.0118846574193103</v>
      </c>
      <c r="O290" s="136"/>
      <c r="P290" s="80"/>
      <c r="Q290" s="77"/>
      <c r="R290" s="77"/>
      <c r="S290" s="80"/>
      <c r="T290" s="80"/>
    </row>
    <row r="291" spans="1:24">
      <c r="A291" t="s">
        <v>1363</v>
      </c>
      <c r="B291" t="s">
        <v>1836</v>
      </c>
      <c r="C291">
        <v>250</v>
      </c>
      <c r="D291" t="s">
        <v>1364</v>
      </c>
      <c r="E291" s="69">
        <f t="shared" si="24"/>
        <v>4</v>
      </c>
      <c r="F291" s="70">
        <f t="shared" si="20"/>
        <v>1.2311025487492526E-5</v>
      </c>
      <c r="G291" s="70">
        <f t="shared" si="21"/>
        <v>1.172478617856431E-6</v>
      </c>
      <c r="M291" s="70">
        <f t="shared" si="22"/>
        <v>1.6379526291454344E-13</v>
      </c>
      <c r="N291" s="206">
        <f t="shared" si="23"/>
        <v>0.65989816763353371</v>
      </c>
      <c r="O291" s="136"/>
      <c r="P291" s="80"/>
      <c r="Q291" s="77"/>
      <c r="R291" s="77"/>
      <c r="S291" s="80"/>
      <c r="T291" s="80"/>
    </row>
    <row r="292" spans="1:24">
      <c r="A292" t="s">
        <v>1365</v>
      </c>
      <c r="B292" t="s">
        <v>1837</v>
      </c>
      <c r="C292">
        <v>710</v>
      </c>
      <c r="E292" s="69">
        <f t="shared" si="24"/>
        <v>1.4084507042253522</v>
      </c>
      <c r="F292" s="70">
        <f t="shared" si="20"/>
        <v>4.3348681293987777E-6</v>
      </c>
      <c r="G292" s="70">
        <f t="shared" si="21"/>
        <v>4.1284458375226456E-7</v>
      </c>
      <c r="M292" s="70">
        <f t="shared" si="22"/>
        <v>5.7674388350191348E-14</v>
      </c>
      <c r="N292" s="206">
        <f t="shared" si="23"/>
        <v>0.23235850973011754</v>
      </c>
      <c r="O292" s="136"/>
      <c r="P292" s="80"/>
      <c r="Q292" s="77"/>
      <c r="R292" s="77"/>
      <c r="S292" s="80"/>
      <c r="T292" s="80"/>
    </row>
    <row r="293" spans="1:24">
      <c r="A293" t="s">
        <v>1366</v>
      </c>
      <c r="B293" t="s">
        <v>1838</v>
      </c>
      <c r="C293">
        <v>305</v>
      </c>
      <c r="E293" s="69">
        <f t="shared" si="24"/>
        <v>3.278688524590164</v>
      </c>
      <c r="F293" s="70">
        <f t="shared" si="20"/>
        <v>1.0091004497944694E-5</v>
      </c>
      <c r="G293" s="70">
        <f t="shared" si="21"/>
        <v>9.6104804742330419E-7</v>
      </c>
      <c r="M293" s="70">
        <f t="shared" si="22"/>
        <v>1.3425841222503559E-13</v>
      </c>
      <c r="N293" s="206">
        <f t="shared" si="23"/>
        <v>0.5409001374045358</v>
      </c>
      <c r="O293" s="136"/>
      <c r="P293" s="80"/>
      <c r="Q293" s="77"/>
      <c r="R293" s="77"/>
      <c r="S293" s="80"/>
      <c r="T293" s="80"/>
    </row>
    <row r="294" spans="1:24">
      <c r="A294" t="s">
        <v>1367</v>
      </c>
      <c r="B294" t="s">
        <v>1839</v>
      </c>
      <c r="C294">
        <v>650</v>
      </c>
      <c r="E294" s="69">
        <f t="shared" si="24"/>
        <v>1.5384615384615385</v>
      </c>
      <c r="F294" s="70">
        <f t="shared" si="20"/>
        <v>4.7350098028817411E-6</v>
      </c>
      <c r="G294" s="70">
        <f t="shared" si="21"/>
        <v>4.5095331456016581E-7</v>
      </c>
      <c r="M294" s="70">
        <f t="shared" si="22"/>
        <v>6.2998178044055177E-14</v>
      </c>
      <c r="N294" s="206">
        <f t="shared" si="23"/>
        <v>0.25380698755135911</v>
      </c>
      <c r="O294" s="136"/>
      <c r="P294" s="80"/>
      <c r="Q294" s="77"/>
      <c r="R294" s="77"/>
      <c r="S294" s="80"/>
      <c r="T294" s="80"/>
    </row>
    <row r="295" spans="1:24">
      <c r="A295" t="s">
        <v>1368</v>
      </c>
      <c r="B295" t="s">
        <v>1840</v>
      </c>
      <c r="C295">
        <v>695</v>
      </c>
      <c r="E295" s="69">
        <f t="shared" si="24"/>
        <v>1.4388489208633093</v>
      </c>
      <c r="F295" s="70">
        <f t="shared" si="20"/>
        <v>4.4284264343498295E-6</v>
      </c>
      <c r="G295" s="70">
        <f t="shared" si="21"/>
        <v>4.2175489850950758E-7</v>
      </c>
      <c r="M295" s="70">
        <f t="shared" si="22"/>
        <v>5.8919159321778215E-14</v>
      </c>
      <c r="N295" s="206">
        <f t="shared" si="23"/>
        <v>0.23737344159479629</v>
      </c>
      <c r="O295" s="136"/>
      <c r="P295" s="80"/>
      <c r="Q295" s="77"/>
      <c r="R295" s="77"/>
      <c r="S295" s="80"/>
      <c r="T295" s="80"/>
    </row>
    <row r="296" spans="1:24">
      <c r="A296" t="s">
        <v>1369</v>
      </c>
      <c r="B296" t="s">
        <v>1841</v>
      </c>
      <c r="C296">
        <v>1790</v>
      </c>
      <c r="E296" s="69">
        <f t="shared" si="24"/>
        <v>0.55865921787709494</v>
      </c>
      <c r="F296" s="70">
        <f t="shared" si="20"/>
        <v>1.719416967526889E-6</v>
      </c>
      <c r="G296" s="70">
        <f t="shared" si="21"/>
        <v>1.6375399690732278E-7</v>
      </c>
      <c r="M296" s="70">
        <f t="shared" si="22"/>
        <v>2.2876433367952994E-14</v>
      </c>
      <c r="N296" s="206">
        <f t="shared" si="23"/>
        <v>9.2164548552169503E-2</v>
      </c>
      <c r="O296" s="136"/>
      <c r="P296" s="80"/>
      <c r="Q296" s="77"/>
      <c r="R296" s="77"/>
      <c r="S296" s="80"/>
      <c r="T296" s="80"/>
    </row>
    <row r="297" spans="1:24">
      <c r="A297" t="s">
        <v>1139</v>
      </c>
      <c r="B297" t="s">
        <v>1842</v>
      </c>
      <c r="C297">
        <v>103</v>
      </c>
      <c r="E297" s="69">
        <f t="shared" si="24"/>
        <v>9.7087378640776691</v>
      </c>
      <c r="F297" s="70">
        <f t="shared" si="20"/>
        <v>2.9881129824010985E-5</v>
      </c>
      <c r="G297" s="70">
        <f t="shared" si="21"/>
        <v>2.8458218880010462E-6</v>
      </c>
      <c r="M297" s="70">
        <f t="shared" si="22"/>
        <v>3.9756131775374615E-13</v>
      </c>
      <c r="N297" s="206">
        <f t="shared" si="23"/>
        <v>1.6016945816347903</v>
      </c>
      <c r="O297" s="136"/>
      <c r="P297" s="80"/>
      <c r="Q297" s="77"/>
      <c r="R297" s="77"/>
      <c r="S297" s="80"/>
      <c r="T297" s="80"/>
    </row>
    <row r="298" spans="1:24">
      <c r="A298" t="s">
        <v>1140</v>
      </c>
      <c r="B298" t="s">
        <v>1843</v>
      </c>
      <c r="C298">
        <v>10</v>
      </c>
      <c r="E298" s="69">
        <f t="shared" si="24"/>
        <v>100</v>
      </c>
      <c r="F298" s="70">
        <f t="shared" si="20"/>
        <v>3.0777563718731315E-4</v>
      </c>
      <c r="G298" s="70">
        <f t="shared" si="21"/>
        <v>2.9311965446410776E-5</v>
      </c>
      <c r="M298" s="70">
        <f t="shared" si="22"/>
        <v>4.0948815728635857E-12</v>
      </c>
      <c r="N298" s="206">
        <f t="shared" si="23"/>
        <v>16.497454190838344</v>
      </c>
      <c r="O298" s="136"/>
      <c r="P298" s="80"/>
      <c r="Q298" s="77"/>
      <c r="R298" s="77"/>
      <c r="S298" s="80"/>
      <c r="T298" s="80"/>
    </row>
    <row r="299" spans="1:24">
      <c r="A299" t="s">
        <v>1370</v>
      </c>
      <c r="B299" t="s">
        <v>1844</v>
      </c>
      <c r="C299">
        <v>542</v>
      </c>
      <c r="E299" s="69">
        <f t="shared" si="24"/>
        <v>1.8450184501845017</v>
      </c>
      <c r="F299" s="70">
        <f t="shared" si="20"/>
        <v>5.6785172912788399E-6</v>
      </c>
      <c r="G299" s="70">
        <f t="shared" si="21"/>
        <v>5.4081117059798487E-7</v>
      </c>
      <c r="M299" s="70">
        <f t="shared" si="22"/>
        <v>7.555132053253847E-14</v>
      </c>
      <c r="N299" s="206">
        <f t="shared" si="23"/>
        <v>0.30438107363170364</v>
      </c>
      <c r="O299" s="136"/>
      <c r="P299" s="80"/>
      <c r="Q299" s="77"/>
      <c r="R299" s="77"/>
      <c r="S299" s="80"/>
      <c r="T299" s="80"/>
    </row>
    <row r="300" spans="1:24">
      <c r="A300" t="s">
        <v>1371</v>
      </c>
      <c r="B300" s="79" t="s">
        <v>1564</v>
      </c>
      <c r="C300">
        <v>380</v>
      </c>
      <c r="E300" s="69">
        <f t="shared" si="24"/>
        <v>2.6315789473684208</v>
      </c>
      <c r="F300" s="70">
        <f t="shared" si="20"/>
        <v>8.0993588733503465E-6</v>
      </c>
      <c r="G300" s="70">
        <f t="shared" si="21"/>
        <v>7.7136751174765208E-7</v>
      </c>
      <c r="M300" s="70">
        <f t="shared" si="22"/>
        <v>1.0776004139114697E-13</v>
      </c>
      <c r="N300" s="206">
        <f t="shared" si="23"/>
        <v>0.43414353133785111</v>
      </c>
      <c r="O300" s="136"/>
      <c r="P300" s="80"/>
      <c r="Q300" s="77"/>
      <c r="R300" s="77"/>
      <c r="S300" s="80"/>
      <c r="T300" s="80"/>
    </row>
    <row r="301" spans="1:24">
      <c r="A301" t="s">
        <v>1098</v>
      </c>
      <c r="B301" t="s">
        <v>1637</v>
      </c>
      <c r="C301">
        <v>86</v>
      </c>
      <c r="E301" s="69">
        <f t="shared" si="24"/>
        <v>11.627906976744185</v>
      </c>
      <c r="F301" s="70">
        <f t="shared" si="20"/>
        <v>3.5787864789222459E-5</v>
      </c>
      <c r="G301" s="70">
        <f t="shared" si="21"/>
        <v>3.4083680751640438E-6</v>
      </c>
      <c r="M301" s="70">
        <f t="shared" si="22"/>
        <v>4.7614902010041697E-13</v>
      </c>
      <c r="N301" s="206">
        <f t="shared" si="23"/>
        <v>1.9183086268416676</v>
      </c>
      <c r="O301" s="136"/>
      <c r="P301" s="80"/>
      <c r="Q301" s="77"/>
      <c r="R301" s="77"/>
      <c r="S301" s="80"/>
      <c r="T301" s="80"/>
    </row>
    <row r="302" spans="1:24">
      <c r="A302" t="s">
        <v>1141</v>
      </c>
      <c r="B302" t="s">
        <v>1845</v>
      </c>
      <c r="C302">
        <v>45</v>
      </c>
      <c r="E302" s="69">
        <f t="shared" si="24"/>
        <v>22.222222222222221</v>
      </c>
      <c r="F302" s="70">
        <f t="shared" si="20"/>
        <v>6.839458604162515E-5</v>
      </c>
      <c r="G302" s="70">
        <f t="shared" si="21"/>
        <v>6.5137700992023954E-6</v>
      </c>
      <c r="M302" s="70">
        <f t="shared" si="22"/>
        <v>9.0997368285857459E-13</v>
      </c>
      <c r="N302" s="206">
        <f t="shared" si="23"/>
        <v>3.6661009312974095</v>
      </c>
      <c r="O302" s="136"/>
      <c r="P302" s="80"/>
      <c r="Q302" s="77"/>
      <c r="R302" s="77"/>
      <c r="S302" s="80"/>
      <c r="T302" s="80"/>
    </row>
    <row r="303" spans="1:24">
      <c r="A303" t="s">
        <v>1372</v>
      </c>
      <c r="B303" t="s">
        <v>1846</v>
      </c>
      <c r="C303">
        <v>1400</v>
      </c>
      <c r="D303" t="s">
        <v>1356</v>
      </c>
      <c r="E303" s="69">
        <f t="shared" si="24"/>
        <v>0.7142857142857143</v>
      </c>
      <c r="F303" s="70">
        <f t="shared" si="20"/>
        <v>2.1983974084808084E-6</v>
      </c>
      <c r="G303" s="70">
        <f t="shared" si="21"/>
        <v>2.0937118176007699E-7</v>
      </c>
      <c r="M303" s="70">
        <f t="shared" si="22"/>
        <v>2.9249154091882759E-14</v>
      </c>
      <c r="N303" s="206">
        <f t="shared" si="23"/>
        <v>0.11783895850598816</v>
      </c>
      <c r="O303" s="136"/>
      <c r="P303" s="80"/>
      <c r="Q303" s="77"/>
      <c r="R303" s="77"/>
      <c r="S303" s="80"/>
      <c r="T303" s="80"/>
      <c r="V303" s="45"/>
      <c r="W303" s="45" t="s">
        <v>1565</v>
      </c>
      <c r="X303" s="45" t="s">
        <v>1565</v>
      </c>
    </row>
    <row r="304" spans="1:24">
      <c r="D304" s="45" t="s">
        <v>250</v>
      </c>
      <c r="E304" s="69">
        <f>AVERAGE(E2:E303)</f>
        <v>86.734984933166373</v>
      </c>
    </row>
  </sheetData>
  <autoFilter ref="A1:O304"/>
  <phoneticPr fontId="0" type="noConversion"/>
  <pageMargins left="0.75" right="0.75" top="1" bottom="1" header="0.5" footer="0.5"/>
  <pageSetup paperSize="9" orientation="portrait" r:id="rId1"/>
  <headerFooter alignWithMargins="0"/>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28"/>
  <sheetViews>
    <sheetView workbookViewId="0">
      <selection activeCell="L190" sqref="L190"/>
    </sheetView>
  </sheetViews>
  <sheetFormatPr defaultColWidth="8.85546875" defaultRowHeight="12.75"/>
  <cols>
    <col min="1" max="1" width="44.7109375" bestFit="1" customWidth="1"/>
    <col min="2" max="3" width="11" bestFit="1" customWidth="1"/>
    <col min="6" max="6" width="9.85546875" customWidth="1"/>
    <col min="7" max="7" width="11.85546875" customWidth="1"/>
    <col min="8" max="8" width="10.42578125" customWidth="1"/>
    <col min="9" max="9" width="11.140625" customWidth="1"/>
    <col min="10" max="10" width="10.140625" customWidth="1"/>
  </cols>
  <sheetData>
    <row r="1" spans="1:13" ht="63.75">
      <c r="A1" s="6" t="s">
        <v>499</v>
      </c>
      <c r="B1" t="s">
        <v>665</v>
      </c>
      <c r="C1" s="5" t="s">
        <v>293</v>
      </c>
      <c r="D1" t="s">
        <v>1</v>
      </c>
      <c r="E1" s="7" t="s">
        <v>500</v>
      </c>
      <c r="F1" s="46" t="s">
        <v>556</v>
      </c>
      <c r="G1" s="75" t="s">
        <v>1549</v>
      </c>
      <c r="H1" s="6" t="s">
        <v>501</v>
      </c>
      <c r="I1" s="6" t="s">
        <v>502</v>
      </c>
      <c r="J1" s="46" t="s">
        <v>1482</v>
      </c>
      <c r="K1" s="46"/>
    </row>
    <row r="2" spans="1:13">
      <c r="E2" t="s">
        <v>4</v>
      </c>
      <c r="G2" t="s">
        <v>1550</v>
      </c>
      <c r="I2" s="45" t="s">
        <v>1480</v>
      </c>
      <c r="M2" s="55"/>
    </row>
    <row r="4" spans="1:13">
      <c r="A4" s="45" t="s">
        <v>1479</v>
      </c>
      <c r="B4" t="s">
        <v>4</v>
      </c>
      <c r="C4" t="s">
        <v>5</v>
      </c>
      <c r="D4" t="s">
        <v>1478</v>
      </c>
      <c r="E4" s="1">
        <f>6/1000*7200000000*0.3*0.1</f>
        <v>1296000</v>
      </c>
      <c r="G4">
        <f>1/58300000000000000</f>
        <v>1.7152658662092623E-17</v>
      </c>
      <c r="I4" s="70">
        <f>E4*G4</f>
        <v>2.222984562607204E-11</v>
      </c>
      <c r="J4" s="70">
        <f>I4*YOLLvalue</f>
        <v>1.1114922813036019E-6</v>
      </c>
    </row>
    <row r="8" spans="1:13">
      <c r="A8" s="56"/>
    </row>
    <row r="9" spans="1:13">
      <c r="A9" s="56"/>
      <c r="B9" s="45"/>
      <c r="C9" s="45"/>
      <c r="G9" s="1"/>
    </row>
    <row r="10" spans="1:13">
      <c r="A10" s="56"/>
    </row>
    <row r="11" spans="1:13">
      <c r="A11" s="56"/>
      <c r="B11" s="45"/>
      <c r="C11" s="45"/>
    </row>
    <row r="12" spans="1:13">
      <c r="A12" s="56"/>
      <c r="B12" s="45"/>
      <c r="C12" s="45"/>
      <c r="D12" s="45"/>
    </row>
    <row r="13" spans="1:13">
      <c r="A13" s="45" t="s">
        <v>1481</v>
      </c>
    </row>
    <row r="14" spans="1:13">
      <c r="A14" s="56"/>
    </row>
    <row r="15" spans="1:13">
      <c r="A15" s="56"/>
    </row>
    <row r="16" spans="1:13">
      <c r="A16" s="56"/>
    </row>
    <row r="17" spans="1:1">
      <c r="A17" s="56"/>
    </row>
    <row r="18" spans="1:1">
      <c r="A18" s="56"/>
    </row>
    <row r="19" spans="1:1">
      <c r="A19" s="56"/>
    </row>
    <row r="20" spans="1:1">
      <c r="A20" s="56"/>
    </row>
    <row r="21" spans="1:1">
      <c r="A21" s="56"/>
    </row>
    <row r="22" spans="1:1">
      <c r="A22" s="56"/>
    </row>
    <row r="23" spans="1:1">
      <c r="A23" s="56"/>
    </row>
    <row r="24" spans="1:1">
      <c r="A24" s="56"/>
    </row>
    <row r="25" spans="1:1">
      <c r="A25" s="56"/>
    </row>
    <row r="26" spans="1:1">
      <c r="A26" s="56"/>
    </row>
    <row r="27" spans="1:1">
      <c r="A27" s="56"/>
    </row>
    <row r="28" spans="1:1">
      <c r="A28" s="56"/>
    </row>
  </sheetData>
  <pageMargins left="0.7" right="0.7" top="0.75" bottom="0.75" header="0.3" footer="0.3"/>
  <pageSetup paperSize="0" orientation="portrait"/>
  <drawing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23"/>
  <sheetViews>
    <sheetView workbookViewId="0">
      <selection activeCell="K8" sqref="K8"/>
    </sheetView>
  </sheetViews>
  <sheetFormatPr defaultColWidth="8.85546875" defaultRowHeight="12.75"/>
  <cols>
    <col min="3" max="3" width="10.42578125" customWidth="1"/>
    <col min="15" max="15" width="12" bestFit="1" customWidth="1"/>
  </cols>
  <sheetData>
    <row r="1" spans="1:24" ht="18">
      <c r="A1" s="2" t="s">
        <v>1430</v>
      </c>
      <c r="H1" s="8"/>
      <c r="I1" s="8"/>
      <c r="J1" s="218"/>
      <c r="K1" s="218"/>
      <c r="L1" s="218"/>
      <c r="M1" s="218"/>
      <c r="N1" s="8"/>
      <c r="O1" s="8"/>
      <c r="P1" s="8"/>
      <c r="Q1" s="8"/>
      <c r="R1" s="8"/>
      <c r="S1" s="8"/>
      <c r="T1" s="8"/>
      <c r="U1" s="8"/>
      <c r="V1" s="8"/>
      <c r="W1" s="8"/>
      <c r="X1" s="8"/>
    </row>
    <row r="2" spans="1:24" ht="51">
      <c r="C2" s="46" t="s">
        <v>1426</v>
      </c>
      <c r="E2" s="45" t="s">
        <v>4</v>
      </c>
      <c r="F2" s="46" t="s">
        <v>1432</v>
      </c>
      <c r="G2" s="202" t="s">
        <v>1433</v>
      </c>
      <c r="H2" s="8"/>
      <c r="I2" s="8"/>
      <c r="J2" s="8"/>
      <c r="K2" s="8"/>
      <c r="L2" s="8"/>
      <c r="M2" s="8"/>
      <c r="N2" s="8"/>
      <c r="O2" s="87"/>
      <c r="P2" s="178"/>
      <c r="Q2" s="179"/>
      <c r="R2" s="179"/>
      <c r="S2" s="179"/>
      <c r="T2" s="8"/>
      <c r="U2" s="8"/>
      <c r="V2" s="8"/>
      <c r="W2" s="8"/>
      <c r="X2" s="8"/>
    </row>
    <row r="3" spans="1:24">
      <c r="C3" s="45" t="s">
        <v>1428</v>
      </c>
      <c r="G3" s="48"/>
      <c r="H3" s="8"/>
      <c r="I3" s="8"/>
      <c r="J3" s="8"/>
      <c r="K3" s="48"/>
      <c r="L3" s="8"/>
      <c r="M3" s="8"/>
      <c r="N3" s="8"/>
      <c r="O3" s="8"/>
      <c r="P3" s="8"/>
      <c r="Q3" s="8"/>
      <c r="R3" s="8"/>
      <c r="S3" s="8"/>
      <c r="T3" s="8"/>
      <c r="U3" s="48"/>
      <c r="V3" s="8"/>
      <c r="W3" s="8"/>
      <c r="X3" s="8"/>
    </row>
    <row r="4" spans="1:24">
      <c r="A4" s="45" t="s">
        <v>1423</v>
      </c>
      <c r="C4">
        <v>85</v>
      </c>
      <c r="E4">
        <f>0.05*C4*24</f>
        <v>102</v>
      </c>
      <c r="F4">
        <f>C4*0.12*5</f>
        <v>51</v>
      </c>
      <c r="G4" s="180">
        <f t="shared" ref="G4:G14" si="0">E4*YOLLvalue+F4*cancervalue</f>
        <v>5610000</v>
      </c>
      <c r="H4" s="8"/>
      <c r="I4" s="8"/>
      <c r="J4" s="8"/>
      <c r="K4" s="180"/>
      <c r="L4" s="8"/>
      <c r="M4" s="8"/>
      <c r="N4" s="87"/>
      <c r="O4" s="8"/>
      <c r="P4" s="8"/>
      <c r="Q4" s="8"/>
      <c r="R4" s="8"/>
      <c r="S4" s="8"/>
      <c r="T4" s="8"/>
      <c r="U4" s="8"/>
      <c r="V4" s="8"/>
      <c r="W4" s="8"/>
      <c r="X4" s="8"/>
    </row>
    <row r="5" spans="1:24">
      <c r="A5" s="45" t="s">
        <v>1422</v>
      </c>
      <c r="C5">
        <v>1.1999999999999999E-3</v>
      </c>
      <c r="E5">
        <f t="shared" ref="E5:E14" si="1">0.05*C5*24</f>
        <v>1.4399999999999999E-3</v>
      </c>
      <c r="F5">
        <f t="shared" ref="F5:F14" si="2">C5*0.12*5</f>
        <v>7.1999999999999994E-4</v>
      </c>
      <c r="G5" s="180">
        <f t="shared" si="0"/>
        <v>79.2</v>
      </c>
      <c r="H5" s="8"/>
      <c r="I5" s="8"/>
      <c r="J5" s="8"/>
      <c r="K5" s="180"/>
      <c r="L5" s="8"/>
      <c r="M5" s="8"/>
      <c r="N5" s="87"/>
      <c r="O5" s="8"/>
      <c r="P5" s="8"/>
      <c r="Q5" s="8"/>
      <c r="R5" s="8"/>
      <c r="S5" s="8"/>
      <c r="T5" s="8"/>
      <c r="U5" s="8"/>
      <c r="V5" s="8"/>
      <c r="W5" s="8"/>
      <c r="X5" s="8"/>
    </row>
    <row r="6" spans="1:24">
      <c r="A6" s="45" t="s">
        <v>1425</v>
      </c>
      <c r="C6">
        <v>4</v>
      </c>
      <c r="E6">
        <f t="shared" si="1"/>
        <v>4.8000000000000007</v>
      </c>
      <c r="F6">
        <f t="shared" si="2"/>
        <v>2.4</v>
      </c>
      <c r="G6" s="180">
        <f t="shared" si="0"/>
        <v>264000</v>
      </c>
      <c r="H6" s="4"/>
      <c r="I6" s="8"/>
      <c r="J6" s="8"/>
      <c r="K6" s="4"/>
      <c r="L6" s="8"/>
      <c r="M6" s="8"/>
      <c r="N6" s="8"/>
      <c r="O6" s="8"/>
      <c r="P6" s="8"/>
      <c r="Q6" s="8"/>
      <c r="R6" s="8"/>
      <c r="S6" s="8"/>
      <c r="T6" s="8"/>
      <c r="U6" s="8"/>
      <c r="V6" s="8"/>
      <c r="W6" s="8"/>
      <c r="X6" s="8"/>
    </row>
    <row r="7" spans="1:24">
      <c r="A7" s="45" t="s">
        <v>1424</v>
      </c>
      <c r="C7" s="1">
        <v>2E-3</v>
      </c>
      <c r="E7" s="1">
        <f>0.05*C7*24</f>
        <v>2.4000000000000002E-3</v>
      </c>
      <c r="F7">
        <f t="shared" si="2"/>
        <v>1.2000000000000001E-3</v>
      </c>
      <c r="G7" s="180">
        <f>E7*YOLLvalue+F7*cancervalue</f>
        <v>132.00000000000003</v>
      </c>
      <c r="H7" s="181"/>
      <c r="I7" s="8"/>
      <c r="J7" s="8"/>
      <c r="K7" s="4"/>
      <c r="L7" s="8"/>
      <c r="M7" s="8"/>
      <c r="N7" s="8"/>
      <c r="O7" s="8"/>
      <c r="P7" s="8"/>
      <c r="Q7" s="8"/>
      <c r="R7" s="8"/>
      <c r="S7" s="8"/>
      <c r="T7" s="8"/>
      <c r="U7" s="8"/>
      <c r="V7" s="8"/>
      <c r="W7" s="8"/>
      <c r="X7" s="8"/>
    </row>
    <row r="8" spans="1:24">
      <c r="A8" s="45" t="s">
        <v>1415</v>
      </c>
      <c r="C8">
        <v>1</v>
      </c>
      <c r="E8">
        <f t="shared" si="1"/>
        <v>1.2000000000000002</v>
      </c>
      <c r="F8">
        <f t="shared" si="2"/>
        <v>0.6</v>
      </c>
      <c r="G8" s="180">
        <f t="shared" si="0"/>
        <v>66000</v>
      </c>
      <c r="H8" s="8"/>
      <c r="I8" s="48"/>
      <c r="J8" s="8"/>
      <c r="K8" s="4"/>
      <c r="L8" s="8"/>
      <c r="M8" s="8"/>
      <c r="N8" s="8"/>
      <c r="O8" s="8"/>
      <c r="P8" s="8"/>
      <c r="Q8" s="8"/>
      <c r="R8" s="8"/>
      <c r="S8" s="8"/>
      <c r="T8" s="8"/>
      <c r="U8" s="8"/>
      <c r="V8" s="8"/>
      <c r="W8" s="8"/>
      <c r="X8" s="8"/>
    </row>
    <row r="9" spans="1:24">
      <c r="A9" s="45" t="s">
        <v>1416</v>
      </c>
      <c r="C9">
        <v>1</v>
      </c>
      <c r="E9">
        <f t="shared" si="1"/>
        <v>1.2000000000000002</v>
      </c>
      <c r="F9">
        <f t="shared" si="2"/>
        <v>0.6</v>
      </c>
      <c r="G9" s="180">
        <f t="shared" si="0"/>
        <v>66000</v>
      </c>
      <c r="H9" s="8"/>
      <c r="I9" s="8"/>
      <c r="J9" s="8"/>
      <c r="K9" s="4"/>
      <c r="L9" s="8"/>
      <c r="M9" s="8"/>
      <c r="N9" s="8"/>
      <c r="O9" s="8"/>
      <c r="P9" s="8"/>
      <c r="Q9" s="8"/>
      <c r="R9" s="8"/>
      <c r="S9" s="8"/>
      <c r="T9" s="8"/>
      <c r="U9" s="8"/>
      <c r="V9" s="8"/>
      <c r="W9" s="8"/>
      <c r="X9" s="8"/>
    </row>
    <row r="10" spans="1:24">
      <c r="A10" s="45" t="s">
        <v>1418</v>
      </c>
      <c r="C10">
        <v>0.6</v>
      </c>
      <c r="E10">
        <f t="shared" si="1"/>
        <v>0.72</v>
      </c>
      <c r="F10">
        <f t="shared" si="2"/>
        <v>0.36</v>
      </c>
      <c r="G10" s="180">
        <f t="shared" si="0"/>
        <v>39600</v>
      </c>
      <c r="H10" s="8"/>
      <c r="I10" s="8"/>
      <c r="J10" s="8"/>
      <c r="K10" s="4"/>
      <c r="L10" s="8"/>
      <c r="M10" s="8"/>
      <c r="N10" s="8"/>
      <c r="O10" s="8"/>
      <c r="P10" s="8"/>
      <c r="Q10" s="8"/>
      <c r="R10" s="8"/>
      <c r="S10" s="8"/>
      <c r="T10" s="8"/>
      <c r="U10" s="8"/>
      <c r="V10" s="8"/>
      <c r="W10" s="8"/>
      <c r="X10" s="8"/>
    </row>
    <row r="11" spans="1:24">
      <c r="A11" s="45" t="s">
        <v>1417</v>
      </c>
      <c r="C11">
        <v>1.4999999999999999E-2</v>
      </c>
      <c r="E11">
        <f t="shared" si="1"/>
        <v>1.8000000000000002E-2</v>
      </c>
      <c r="F11">
        <f t="shared" si="2"/>
        <v>8.9999999999999993E-3</v>
      </c>
      <c r="G11" s="180">
        <f t="shared" si="0"/>
        <v>990.00000000000011</v>
      </c>
      <c r="H11" s="8"/>
      <c r="I11" s="8"/>
      <c r="J11" s="8"/>
      <c r="K11" s="4"/>
      <c r="L11" s="8"/>
      <c r="M11" s="8"/>
      <c r="N11" s="8"/>
      <c r="O11" s="8"/>
      <c r="P11" s="8"/>
      <c r="Q11" s="8"/>
      <c r="R11" s="8"/>
      <c r="S11" s="8"/>
      <c r="T11" s="8"/>
      <c r="U11" s="8"/>
      <c r="V11" s="8"/>
      <c r="W11" s="8"/>
      <c r="X11" s="8"/>
    </row>
    <row r="12" spans="1:24">
      <c r="A12" s="45" t="s">
        <v>1419</v>
      </c>
      <c r="C12">
        <v>30</v>
      </c>
      <c r="E12">
        <f t="shared" si="1"/>
        <v>36</v>
      </c>
      <c r="F12">
        <f t="shared" si="2"/>
        <v>18</v>
      </c>
      <c r="G12" s="180">
        <f t="shared" si="0"/>
        <v>1980000</v>
      </c>
      <c r="H12" s="8"/>
      <c r="I12" s="8"/>
      <c r="J12" s="8"/>
      <c r="K12" s="4"/>
      <c r="L12" s="8"/>
      <c r="M12" s="8"/>
      <c r="N12" s="8"/>
      <c r="O12" s="8"/>
      <c r="P12" s="8"/>
      <c r="Q12" s="8"/>
      <c r="R12" s="8"/>
      <c r="S12" s="8"/>
      <c r="T12" s="8"/>
      <c r="U12" s="8"/>
      <c r="V12" s="8"/>
      <c r="W12" s="8"/>
      <c r="X12" s="8"/>
    </row>
    <row r="13" spans="1:24">
      <c r="A13" s="45" t="s">
        <v>1420</v>
      </c>
      <c r="C13">
        <v>8</v>
      </c>
      <c r="E13">
        <f t="shared" si="1"/>
        <v>9.6000000000000014</v>
      </c>
      <c r="F13">
        <f t="shared" si="2"/>
        <v>4.8</v>
      </c>
      <c r="G13" s="180">
        <f t="shared" si="0"/>
        <v>528000</v>
      </c>
      <c r="H13" s="8"/>
      <c r="I13" s="8"/>
      <c r="J13" s="8"/>
      <c r="K13" s="4"/>
      <c r="L13" s="8"/>
      <c r="M13" s="8"/>
      <c r="N13" s="8"/>
      <c r="O13" s="8"/>
      <c r="P13" s="8"/>
      <c r="Q13" s="8"/>
      <c r="R13" s="8"/>
      <c r="S13" s="8"/>
      <c r="T13" s="8"/>
      <c r="U13" s="8"/>
      <c r="V13" s="8"/>
      <c r="W13" s="8"/>
      <c r="X13" s="8"/>
    </row>
    <row r="14" spans="1:24">
      <c r="A14" s="45" t="s">
        <v>1421</v>
      </c>
      <c r="C14">
        <v>7</v>
      </c>
      <c r="E14">
        <f t="shared" si="1"/>
        <v>8.4</v>
      </c>
      <c r="F14">
        <f t="shared" si="2"/>
        <v>4.2</v>
      </c>
      <c r="G14" s="180">
        <f t="shared" si="0"/>
        <v>462000</v>
      </c>
      <c r="H14" s="8"/>
      <c r="I14" s="8"/>
      <c r="J14" s="8"/>
      <c r="K14" s="4"/>
      <c r="L14" s="8"/>
      <c r="M14" s="8"/>
      <c r="N14" s="8"/>
      <c r="O14" s="8"/>
      <c r="P14" s="8"/>
      <c r="Q14" s="8"/>
      <c r="R14" s="8"/>
      <c r="S14" s="8"/>
      <c r="T14" s="8"/>
      <c r="U14" s="8"/>
      <c r="V14" s="8"/>
      <c r="W14" s="8"/>
      <c r="X14" s="8"/>
    </row>
    <row r="15" spans="1:24">
      <c r="H15" s="8"/>
      <c r="I15" s="8"/>
      <c r="J15" s="8"/>
      <c r="K15" s="8"/>
      <c r="L15" s="8"/>
      <c r="M15" s="8"/>
      <c r="N15" s="8"/>
      <c r="O15" s="8"/>
      <c r="P15" s="8"/>
      <c r="Q15" s="8"/>
      <c r="R15" s="8"/>
      <c r="S15" s="8"/>
      <c r="T15" s="8"/>
      <c r="U15" s="8"/>
      <c r="V15" s="8"/>
      <c r="W15" s="8"/>
      <c r="X15" s="8"/>
    </row>
    <row r="16" spans="1:24">
      <c r="A16" s="2" t="s">
        <v>1431</v>
      </c>
      <c r="H16" s="8"/>
      <c r="I16" s="8"/>
      <c r="J16" s="8"/>
      <c r="K16" s="8"/>
      <c r="L16" s="8"/>
      <c r="M16" s="8"/>
      <c r="N16" s="8"/>
      <c r="O16" s="8"/>
      <c r="P16" s="8"/>
      <c r="Q16" s="8"/>
      <c r="R16" s="8"/>
      <c r="S16" s="8"/>
      <c r="T16" s="8"/>
      <c r="U16" s="8"/>
      <c r="V16" s="8"/>
      <c r="W16" s="8"/>
      <c r="X16" s="8"/>
    </row>
    <row r="17" spans="1:24">
      <c r="A17" s="45" t="s">
        <v>1415</v>
      </c>
      <c r="D17" s="45" t="s">
        <v>1429</v>
      </c>
      <c r="H17" s="8"/>
      <c r="I17" s="8"/>
      <c r="J17" s="8"/>
      <c r="K17" s="8"/>
      <c r="L17" s="8"/>
      <c r="M17" s="8"/>
      <c r="N17" s="8"/>
      <c r="O17" s="8"/>
      <c r="P17" s="8"/>
      <c r="Q17" s="8"/>
      <c r="R17" s="8"/>
      <c r="S17" s="8"/>
      <c r="T17" s="8"/>
      <c r="U17" s="8"/>
      <c r="V17" s="8"/>
      <c r="W17" s="8"/>
      <c r="X17" s="8"/>
    </row>
    <row r="18" spans="1:24">
      <c r="A18" s="45" t="s">
        <v>1416</v>
      </c>
      <c r="D18" s="45" t="s">
        <v>1429</v>
      </c>
      <c r="H18" s="8"/>
      <c r="I18" s="8"/>
      <c r="J18" s="8"/>
      <c r="K18" s="8"/>
      <c r="L18" s="8"/>
      <c r="M18" s="8"/>
      <c r="N18" s="8"/>
      <c r="O18" s="8"/>
      <c r="P18" s="8"/>
      <c r="Q18" s="8"/>
      <c r="R18" s="8"/>
      <c r="S18" s="8"/>
      <c r="T18" s="8"/>
      <c r="U18" s="8"/>
      <c r="V18" s="8"/>
      <c r="W18" s="8"/>
      <c r="X18" s="8"/>
    </row>
    <row r="19" spans="1:24">
      <c r="A19" s="45" t="s">
        <v>1418</v>
      </c>
      <c r="D19" s="45" t="s">
        <v>1429</v>
      </c>
      <c r="H19" s="8"/>
      <c r="I19" s="8"/>
      <c r="J19" s="8"/>
      <c r="K19" s="8"/>
      <c r="L19" s="8"/>
      <c r="M19" s="8"/>
      <c r="N19" s="8"/>
      <c r="O19" s="8"/>
      <c r="P19" s="8"/>
      <c r="Q19" s="8"/>
      <c r="R19" s="8"/>
      <c r="S19" s="8"/>
      <c r="T19" s="8"/>
      <c r="U19" s="8"/>
      <c r="V19" s="8"/>
      <c r="W19" s="8"/>
      <c r="X19" s="8"/>
    </row>
    <row r="20" spans="1:24">
      <c r="A20" s="45" t="s">
        <v>1419</v>
      </c>
      <c r="D20" s="45" t="s">
        <v>1429</v>
      </c>
    </row>
    <row r="21" spans="1:24">
      <c r="A21" s="45" t="s">
        <v>1420</v>
      </c>
      <c r="D21" s="45" t="s">
        <v>1429</v>
      </c>
    </row>
    <row r="22" spans="1:24">
      <c r="A22" s="45" t="s">
        <v>1427</v>
      </c>
      <c r="D22" s="45" t="s">
        <v>1429</v>
      </c>
    </row>
    <row r="23" spans="1:24">
      <c r="A23" s="45" t="s">
        <v>1421</v>
      </c>
      <c r="D23" s="45" t="s">
        <v>1429</v>
      </c>
    </row>
  </sheetData>
  <mergeCells count="1">
    <mergeCell ref="J1:M1"/>
  </mergeCells>
  <pageMargins left="0.7" right="0.7" top="0.75" bottom="0.75" header="0.3" footer="0.3"/>
  <pageSetup paperSize="0" orientation="portrait"/>
  <legacy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T102"/>
  <sheetViews>
    <sheetView workbookViewId="0">
      <selection activeCell="E62" sqref="E62:E102"/>
    </sheetView>
  </sheetViews>
  <sheetFormatPr defaultColWidth="8.85546875" defaultRowHeight="12.75"/>
  <cols>
    <col min="1" max="1" width="38" bestFit="1" customWidth="1"/>
    <col min="2" max="2" width="7.140625" bestFit="1" customWidth="1"/>
    <col min="3" max="3" width="9" bestFit="1" customWidth="1"/>
    <col min="4" max="4" width="40.42578125" customWidth="1"/>
    <col min="5" max="5" width="18.42578125" customWidth="1"/>
    <col min="6" max="6" width="5.85546875" customWidth="1"/>
    <col min="7" max="7" width="10.42578125" customWidth="1"/>
    <col min="8" max="8" width="39.28515625" customWidth="1"/>
    <col min="9" max="9" width="10.42578125" customWidth="1"/>
    <col min="10" max="10" width="6.28515625" customWidth="1"/>
    <col min="11" max="11" width="12.42578125" bestFit="1" customWidth="1"/>
    <col min="12" max="12" width="6.42578125" customWidth="1"/>
    <col min="14" max="14" width="39" customWidth="1"/>
    <col min="15" max="16" width="12.42578125" bestFit="1" customWidth="1"/>
  </cols>
  <sheetData>
    <row r="2" spans="1:20" ht="15">
      <c r="C2" s="50"/>
      <c r="D2" s="50"/>
      <c r="E2" s="50"/>
      <c r="F2" s="50"/>
      <c r="G2" s="50"/>
      <c r="H2" s="50"/>
      <c r="I2" s="50"/>
      <c r="J2" s="50"/>
    </row>
    <row r="3" spans="1:20" ht="38.25">
      <c r="A3" s="2" t="s">
        <v>1038</v>
      </c>
      <c r="B3" t="s">
        <v>293</v>
      </c>
      <c r="C3" s="76" t="s">
        <v>1015</v>
      </c>
      <c r="E3" s="72" t="s">
        <v>1014</v>
      </c>
      <c r="F3" s="72"/>
      <c r="G3" t="s">
        <v>10</v>
      </c>
      <c r="I3" s="6" t="s">
        <v>1016</v>
      </c>
      <c r="J3" s="6"/>
      <c r="K3" t="s">
        <v>174</v>
      </c>
      <c r="M3" s="6" t="s">
        <v>1046</v>
      </c>
      <c r="T3" s="72"/>
    </row>
    <row r="4" spans="1:20" ht="25.5">
      <c r="A4" s="2"/>
      <c r="C4" s="76" t="s">
        <v>527</v>
      </c>
      <c r="D4" s="6" t="s">
        <v>1045</v>
      </c>
      <c r="E4" s="72" t="s">
        <v>7</v>
      </c>
      <c r="F4" s="6" t="s">
        <v>763</v>
      </c>
      <c r="G4" s="6" t="s">
        <v>7</v>
      </c>
      <c r="H4" s="6" t="s">
        <v>763</v>
      </c>
      <c r="I4" s="6" t="s">
        <v>7</v>
      </c>
      <c r="J4" s="6" t="s">
        <v>763</v>
      </c>
      <c r="L4" s="6" t="s">
        <v>763</v>
      </c>
      <c r="O4" s="45"/>
    </row>
    <row r="5" spans="1:20" ht="15">
      <c r="A5" s="84" t="s">
        <v>1551</v>
      </c>
      <c r="B5" s="8"/>
      <c r="C5" s="8"/>
      <c r="D5" s="8"/>
      <c r="K5" s="1"/>
      <c r="L5" s="1"/>
      <c r="M5" s="1"/>
    </row>
    <row r="6" spans="1:20">
      <c r="A6" t="s">
        <v>1040</v>
      </c>
      <c r="B6" t="s">
        <v>294</v>
      </c>
      <c r="C6" s="8">
        <f t="shared" ref="C6:C11" si="0">4400/1000000*0.0125</f>
        <v>5.5000000000000009E-5</v>
      </c>
      <c r="D6">
        <v>4</v>
      </c>
      <c r="E6">
        <f>0.6</f>
        <v>0.6</v>
      </c>
      <c r="F6">
        <v>1.5</v>
      </c>
      <c r="I6">
        <v>308</v>
      </c>
      <c r="J6">
        <v>2</v>
      </c>
      <c r="K6" s="1">
        <f>0.104/400000000000</f>
        <v>2.6E-13</v>
      </c>
      <c r="L6" s="1"/>
      <c r="M6" s="77">
        <f t="shared" ref="M6:M12" si="1">C6*working_capacity+E6*cropvalue+G6*woodvalue+I6*drinkingwatervalue+K6*speciesvalue</f>
        <v>3.9965600000000006</v>
      </c>
      <c r="Q6" s="1"/>
      <c r="R6" s="1"/>
    </row>
    <row r="7" spans="1:20">
      <c r="A7" t="s">
        <v>1039</v>
      </c>
      <c r="B7" t="s">
        <v>294</v>
      </c>
      <c r="C7" s="8">
        <f t="shared" si="0"/>
        <v>5.5000000000000009E-5</v>
      </c>
      <c r="D7">
        <v>4</v>
      </c>
      <c r="G7">
        <v>0.5</v>
      </c>
      <c r="I7">
        <v>308</v>
      </c>
      <c r="K7" s="1">
        <f>0.104/400000000000</f>
        <v>2.6E-13</v>
      </c>
      <c r="L7" s="1"/>
      <c r="M7" s="77">
        <f t="shared" si="1"/>
        <v>3.8845600000000005</v>
      </c>
    </row>
    <row r="8" spans="1:20">
      <c r="A8" t="s">
        <v>1041</v>
      </c>
      <c r="B8" t="s">
        <v>294</v>
      </c>
      <c r="C8" s="8">
        <f t="shared" si="0"/>
        <v>5.5000000000000009E-5</v>
      </c>
      <c r="D8">
        <v>4</v>
      </c>
      <c r="I8">
        <v>308</v>
      </c>
      <c r="K8" s="1">
        <f>0.104/400000000000</f>
        <v>2.6E-13</v>
      </c>
      <c r="L8" s="1"/>
      <c r="M8" s="77">
        <f t="shared" si="1"/>
        <v>3.8645600000000004</v>
      </c>
    </row>
    <row r="9" spans="1:20">
      <c r="A9" t="s">
        <v>1042</v>
      </c>
      <c r="B9" t="s">
        <v>294</v>
      </c>
      <c r="C9" s="8">
        <f t="shared" si="0"/>
        <v>5.5000000000000009E-5</v>
      </c>
      <c r="D9">
        <v>4</v>
      </c>
      <c r="E9">
        <f>0.6</f>
        <v>0.6</v>
      </c>
      <c r="F9">
        <v>1.5</v>
      </c>
      <c r="I9">
        <v>308</v>
      </c>
      <c r="K9" s="1">
        <f>0.026/200000000000</f>
        <v>1.3E-13</v>
      </c>
      <c r="L9" s="1"/>
      <c r="M9" s="77">
        <f t="shared" si="1"/>
        <v>3.9892800000000008</v>
      </c>
    </row>
    <row r="10" spans="1:20">
      <c r="A10" t="s">
        <v>1043</v>
      </c>
      <c r="B10" t="s">
        <v>294</v>
      </c>
      <c r="C10" s="8">
        <f t="shared" si="0"/>
        <v>5.5000000000000009E-5</v>
      </c>
      <c r="D10">
        <v>4</v>
      </c>
      <c r="G10">
        <v>0.5</v>
      </c>
      <c r="I10">
        <v>308</v>
      </c>
      <c r="K10" s="1">
        <f>0.026/200000000000</f>
        <v>1.3E-13</v>
      </c>
      <c r="L10" s="1"/>
      <c r="M10" s="77">
        <f t="shared" si="1"/>
        <v>3.8772800000000007</v>
      </c>
    </row>
    <row r="11" spans="1:20">
      <c r="A11" t="s">
        <v>1044</v>
      </c>
      <c r="B11" t="s">
        <v>294</v>
      </c>
      <c r="C11" s="8">
        <f t="shared" si="0"/>
        <v>5.5000000000000009E-5</v>
      </c>
      <c r="D11">
        <v>4</v>
      </c>
      <c r="I11">
        <v>308</v>
      </c>
      <c r="K11" s="1">
        <f>0.026/200000000000</f>
        <v>1.3E-13</v>
      </c>
      <c r="L11" s="1"/>
      <c r="M11" s="77">
        <f t="shared" si="1"/>
        <v>3.8572800000000007</v>
      </c>
    </row>
    <row r="12" spans="1:20">
      <c r="A12" t="s">
        <v>1023</v>
      </c>
      <c r="B12" t="s">
        <v>294</v>
      </c>
      <c r="K12" s="1">
        <f>0.037/400000000000</f>
        <v>9.2499999999999997E-14</v>
      </c>
      <c r="L12" s="1"/>
      <c r="M12" s="77">
        <f t="shared" si="1"/>
        <v>5.1799999999999997E-3</v>
      </c>
    </row>
    <row r="13" spans="1:20" ht="15">
      <c r="A13" s="84" t="s">
        <v>1552</v>
      </c>
      <c r="B13" s="8"/>
      <c r="C13" s="8"/>
      <c r="D13" s="8"/>
      <c r="K13" s="1"/>
      <c r="L13" s="1"/>
      <c r="M13" s="77"/>
    </row>
    <row r="14" spans="1:20">
      <c r="A14" t="s">
        <v>1040</v>
      </c>
      <c r="B14" t="s">
        <v>294</v>
      </c>
      <c r="C14" s="8">
        <f t="shared" ref="C14:C19" si="2">4400/1000000*0.01</f>
        <v>4.4000000000000006E-5</v>
      </c>
      <c r="D14">
        <v>4</v>
      </c>
      <c r="E14">
        <f>0.6</f>
        <v>0.6</v>
      </c>
      <c r="F14">
        <v>1.5</v>
      </c>
      <c r="I14">
        <v>308</v>
      </c>
      <c r="K14" s="1">
        <f>0.104/400000000000</f>
        <v>2.6E-13</v>
      </c>
      <c r="L14" s="1"/>
      <c r="M14" s="77">
        <f t="shared" ref="M14:M20" si="3">C14*working_capacity+E14*cropvalue+G14*woodvalue+I14*drinkingwatervalue+K14*speciesvalue</f>
        <v>3.3497600000000003</v>
      </c>
    </row>
    <row r="15" spans="1:20">
      <c r="A15" t="s">
        <v>1039</v>
      </c>
      <c r="B15" t="s">
        <v>294</v>
      </c>
      <c r="C15" s="8">
        <f t="shared" si="2"/>
        <v>4.4000000000000006E-5</v>
      </c>
      <c r="D15">
        <v>4</v>
      </c>
      <c r="G15">
        <v>0.5</v>
      </c>
      <c r="I15">
        <v>308</v>
      </c>
      <c r="K15" s="1">
        <f>0.104/400000000000</f>
        <v>2.6E-13</v>
      </c>
      <c r="L15" s="1"/>
      <c r="M15" s="77">
        <f t="shared" si="3"/>
        <v>3.2377600000000002</v>
      </c>
    </row>
    <row r="16" spans="1:20">
      <c r="A16" t="s">
        <v>1041</v>
      </c>
      <c r="B16" t="s">
        <v>294</v>
      </c>
      <c r="C16" s="8">
        <f t="shared" si="2"/>
        <v>4.4000000000000006E-5</v>
      </c>
      <c r="D16">
        <v>4</v>
      </c>
      <c r="I16">
        <v>308</v>
      </c>
      <c r="K16" s="1">
        <f>0.104/400000000000</f>
        <v>2.6E-13</v>
      </c>
      <c r="L16" s="1"/>
      <c r="M16" s="77">
        <f t="shared" si="3"/>
        <v>3.2177600000000002</v>
      </c>
    </row>
    <row r="17" spans="1:16">
      <c r="A17" t="s">
        <v>1042</v>
      </c>
      <c r="B17" t="s">
        <v>294</v>
      </c>
      <c r="C17" s="8">
        <f t="shared" si="2"/>
        <v>4.4000000000000006E-5</v>
      </c>
      <c r="D17">
        <v>4</v>
      </c>
      <c r="E17">
        <f>0.6</f>
        <v>0.6</v>
      </c>
      <c r="F17">
        <v>1.5</v>
      </c>
      <c r="I17">
        <v>308</v>
      </c>
      <c r="K17" s="1">
        <f>0.026/200000000000</f>
        <v>1.3E-13</v>
      </c>
      <c r="L17" s="1"/>
      <c r="M17" s="77">
        <f t="shared" si="3"/>
        <v>3.3424800000000006</v>
      </c>
    </row>
    <row r="18" spans="1:16">
      <c r="A18" t="s">
        <v>1043</v>
      </c>
      <c r="B18" t="s">
        <v>294</v>
      </c>
      <c r="C18" s="8">
        <f t="shared" si="2"/>
        <v>4.4000000000000006E-5</v>
      </c>
      <c r="D18">
        <v>4</v>
      </c>
      <c r="G18">
        <v>0.5</v>
      </c>
      <c r="I18">
        <v>308</v>
      </c>
      <c r="K18" s="1">
        <f>0.026/200000000000</f>
        <v>1.3E-13</v>
      </c>
      <c r="L18" s="1"/>
      <c r="M18" s="77">
        <f t="shared" si="3"/>
        <v>3.2304800000000005</v>
      </c>
    </row>
    <row r="19" spans="1:16">
      <c r="A19" t="s">
        <v>1044</v>
      </c>
      <c r="B19" t="s">
        <v>294</v>
      </c>
      <c r="C19" s="8">
        <f t="shared" si="2"/>
        <v>4.4000000000000006E-5</v>
      </c>
      <c r="D19">
        <v>4</v>
      </c>
      <c r="I19">
        <v>308</v>
      </c>
      <c r="K19" s="1">
        <f>0.026/200000000000</f>
        <v>1.3E-13</v>
      </c>
      <c r="L19" s="1"/>
      <c r="M19" s="77">
        <f t="shared" si="3"/>
        <v>3.2104800000000004</v>
      </c>
    </row>
    <row r="20" spans="1:16">
      <c r="A20" t="s">
        <v>1023</v>
      </c>
      <c r="B20" t="s">
        <v>294</v>
      </c>
      <c r="K20" s="1">
        <f>0.037/400000000000</f>
        <v>9.2499999999999997E-14</v>
      </c>
      <c r="L20" s="1"/>
      <c r="M20" s="77">
        <f t="shared" si="3"/>
        <v>5.1799999999999997E-3</v>
      </c>
    </row>
    <row r="21" spans="1:16" ht="15">
      <c r="A21" s="51" t="s">
        <v>1024</v>
      </c>
      <c r="K21" s="1"/>
      <c r="L21" s="1"/>
      <c r="M21" s="77"/>
    </row>
    <row r="22" spans="1:16">
      <c r="A22" t="s">
        <v>1025</v>
      </c>
      <c r="B22" t="s">
        <v>294</v>
      </c>
      <c r="K22" s="1">
        <f>0.164/15400000000000</f>
        <v>1.064935064935065E-14</v>
      </c>
      <c r="L22" s="1"/>
      <c r="M22" s="77">
        <f>C22*working_capacity+E22*cropvalue+G22*woodvalue+I22*drinkingwatervalue+K22*speciesvalue</f>
        <v>5.9636363636363641E-4</v>
      </c>
    </row>
    <row r="23" spans="1:16">
      <c r="A23" t="s">
        <v>1026</v>
      </c>
      <c r="B23" t="s">
        <v>294</v>
      </c>
      <c r="K23" s="1">
        <f>0.024/(120000000*10000)</f>
        <v>2E-14</v>
      </c>
      <c r="L23" s="1"/>
      <c r="M23" s="77">
        <f>C23*working_capacity+E23*cropvalue+G23*woodvalue+I23*drinkingwatervalue+K23*speciesvalue</f>
        <v>1.1199999999999999E-3</v>
      </c>
    </row>
    <row r="24" spans="1:16">
      <c r="A24" t="s">
        <v>1027</v>
      </c>
      <c r="B24" t="s">
        <v>294</v>
      </c>
      <c r="K24" s="1">
        <f>0.112/33600000000000</f>
        <v>3.3333333333333336E-15</v>
      </c>
      <c r="L24" s="1"/>
      <c r="M24" s="77">
        <f>C24*working_capacity+E24*cropvalue+G24*woodvalue+I24*drinkingwatervalue+K24*speciesvalue</f>
        <v>1.8666666666666669E-4</v>
      </c>
    </row>
    <row r="25" spans="1:16">
      <c r="A25" s="45" t="s">
        <v>1028</v>
      </c>
      <c r="B25" s="45" t="s">
        <v>1381</v>
      </c>
      <c r="C25" s="45"/>
      <c r="D25" s="88"/>
      <c r="K25" s="1">
        <f>0.0042/67000000000</f>
        <v>6.2686567164179097E-14</v>
      </c>
      <c r="L25" s="1"/>
      <c r="M25" s="77">
        <f>C25*working_capacity+E25*cropvalue+G25*woodvalue+I25*drinkingwatervalue+K25*speciesvalue</f>
        <v>3.5104477611940296E-3</v>
      </c>
      <c r="N25" s="1"/>
    </row>
    <row r="26" spans="1:16" ht="15">
      <c r="A26" s="51" t="s">
        <v>1029</v>
      </c>
      <c r="B26" s="72"/>
      <c r="K26" s="1"/>
      <c r="L26" s="1"/>
      <c r="M26" s="77"/>
      <c r="N26" s="1"/>
    </row>
    <row r="27" spans="1:16">
      <c r="A27" s="45" t="s">
        <v>1030</v>
      </c>
      <c r="B27" s="45" t="s">
        <v>1381</v>
      </c>
      <c r="D27" s="88"/>
      <c r="K27" s="1">
        <f>0.00176/3530000000000</f>
        <v>4.9858356940509914E-16</v>
      </c>
      <c r="L27" s="1"/>
      <c r="M27" s="77">
        <f>C27*working_capacity+E27*cropvalue+G27*woodvalue+I27*drinkingwatervalue+K27*speciesvalue</f>
        <v>2.7920679886685552E-5</v>
      </c>
      <c r="N27" s="1"/>
      <c r="P27" s="72"/>
    </row>
    <row r="28" spans="1:16">
      <c r="A28" s="72" t="s">
        <v>1031</v>
      </c>
      <c r="B28" t="s">
        <v>294</v>
      </c>
      <c r="C28" s="1"/>
      <c r="D28" s="1"/>
      <c r="E28" s="1"/>
      <c r="F28" s="1"/>
      <c r="G28">
        <v>0.5</v>
      </c>
      <c r="I28">
        <v>308</v>
      </c>
      <c r="K28">
        <f>0.0378/551078000000</f>
        <v>6.8592830778945993E-14</v>
      </c>
      <c r="M28" s="77">
        <f>C28*working_capacity+E28*cropvalue+G28*woodvalue+I28*drinkingwatervalue+K28*speciesvalue</f>
        <v>0.63984119852362098</v>
      </c>
    </row>
    <row r="29" spans="1:16">
      <c r="A29" t="s">
        <v>1032</v>
      </c>
      <c r="B29" t="s">
        <v>294</v>
      </c>
      <c r="K29">
        <f>0.00118/400000000000</f>
        <v>2.9500000000000002E-15</v>
      </c>
      <c r="M29" s="77">
        <f>C29*working_capacity+E29*cropvalue+G29*woodvalue+I29*drinkingwatervalue+K29*speciesvalue</f>
        <v>1.652E-4</v>
      </c>
    </row>
    <row r="30" spans="1:16" ht="15">
      <c r="A30" s="51" t="s">
        <v>1033</v>
      </c>
      <c r="M30" s="77"/>
    </row>
    <row r="31" spans="1:16">
      <c r="A31" t="s">
        <v>1034</v>
      </c>
      <c r="B31" t="s">
        <v>294</v>
      </c>
      <c r="E31">
        <v>0.6</v>
      </c>
      <c r="G31">
        <v>0.5</v>
      </c>
      <c r="I31">
        <v>308</v>
      </c>
      <c r="K31" s="1">
        <f>0.0245/6110000000</f>
        <v>4.0098199672667761E-12</v>
      </c>
      <c r="L31" s="1"/>
      <c r="M31" s="77">
        <f>C31*working_capacity+E31*cropvalue+G31*woodvalue+I31*drinkingwatervalue+K31*speciesvalue</f>
        <v>0.99254991816693949</v>
      </c>
    </row>
    <row r="32" spans="1:16">
      <c r="A32" t="s">
        <v>1035</v>
      </c>
      <c r="B32" t="s">
        <v>294</v>
      </c>
      <c r="K32" s="72">
        <f>0.0024/1400000000000</f>
        <v>1.7142857142857141E-15</v>
      </c>
      <c r="L32" s="72"/>
      <c r="M32" s="77">
        <f>C32*working_capacity+E32*cropvalue+G32*woodvalue+I32*drinkingwatervalue+K32*speciesvalue</f>
        <v>9.5999999999999989E-5</v>
      </c>
    </row>
    <row r="33" spans="1:13" ht="15">
      <c r="A33" s="51" t="s">
        <v>1036</v>
      </c>
      <c r="M33" s="77"/>
    </row>
    <row r="34" spans="1:13">
      <c r="A34" t="s">
        <v>1037</v>
      </c>
      <c r="B34" t="s">
        <v>294</v>
      </c>
      <c r="K34" s="1">
        <f>0.152/40400000000000</f>
        <v>3.7623762376237625E-15</v>
      </c>
      <c r="L34" s="1"/>
      <c r="M34" s="77">
        <f>C34*working_capacity+E34*cropvalue+G34*woodvalue+I34*drinkingwatervalue+K34*speciesvalue</f>
        <v>2.1069306930693069E-4</v>
      </c>
    </row>
    <row r="39" spans="1:13">
      <c r="A39" s="87"/>
      <c r="B39" s="8"/>
      <c r="C39" s="8"/>
      <c r="D39" s="87"/>
      <c r="E39" s="87"/>
      <c r="F39" s="87"/>
      <c r="G39" s="8"/>
      <c r="H39" s="87"/>
      <c r="I39" s="87"/>
    </row>
    <row r="40" spans="1:13" ht="15">
      <c r="C40" s="45"/>
      <c r="D40" s="48"/>
      <c r="E40" s="88"/>
      <c r="F40" s="48"/>
      <c r="H40" s="84"/>
    </row>
    <row r="41" spans="1:13">
      <c r="C41" s="45"/>
      <c r="D41" s="48"/>
      <c r="E41" s="88"/>
      <c r="F41" s="48"/>
      <c r="I41" s="85"/>
    </row>
    <row r="42" spans="1:13">
      <c r="C42" s="45"/>
      <c r="D42" s="48"/>
      <c r="E42" s="88"/>
      <c r="F42" s="48"/>
      <c r="I42" s="85"/>
    </row>
    <row r="43" spans="1:13">
      <c r="C43" s="45"/>
      <c r="D43" s="48"/>
      <c r="E43" s="88"/>
      <c r="F43" s="48"/>
      <c r="I43" s="85"/>
    </row>
    <row r="44" spans="1:13">
      <c r="C44" s="45"/>
      <c r="D44" s="48"/>
      <c r="E44" s="88"/>
      <c r="F44" s="48"/>
      <c r="I44" s="85"/>
    </row>
    <row r="45" spans="1:13">
      <c r="C45" s="45"/>
      <c r="D45" s="48"/>
      <c r="E45" s="88"/>
      <c r="F45" s="48"/>
      <c r="I45" s="85"/>
    </row>
    <row r="46" spans="1:13">
      <c r="C46" s="45"/>
      <c r="D46" s="48"/>
      <c r="E46" s="88"/>
      <c r="F46" s="48"/>
      <c r="I46" s="85"/>
    </row>
    <row r="47" spans="1:13">
      <c r="C47" s="45"/>
      <c r="D47" s="48"/>
      <c r="E47" s="88"/>
      <c r="F47" s="48"/>
      <c r="I47" s="85"/>
    </row>
    <row r="48" spans="1:13" ht="15">
      <c r="C48" s="45"/>
      <c r="D48" s="48"/>
      <c r="E48" s="88"/>
      <c r="F48" s="48"/>
      <c r="H48" s="51"/>
      <c r="I48" s="85"/>
    </row>
    <row r="49" spans="3:10">
      <c r="C49" s="45"/>
      <c r="D49" s="48"/>
      <c r="E49" s="88"/>
      <c r="F49" s="48"/>
      <c r="I49" s="85"/>
    </row>
    <row r="50" spans="3:10">
      <c r="C50" s="45"/>
      <c r="D50" s="48"/>
      <c r="E50" s="88"/>
      <c r="F50" s="48"/>
      <c r="I50" s="85"/>
    </row>
    <row r="51" spans="3:10">
      <c r="C51" s="45"/>
      <c r="D51" s="48"/>
      <c r="E51" s="45"/>
      <c r="F51" s="48"/>
      <c r="I51" s="85"/>
    </row>
    <row r="52" spans="3:10">
      <c r="C52" s="45"/>
      <c r="D52" s="48"/>
      <c r="E52" s="45"/>
      <c r="F52" s="48"/>
      <c r="H52" s="88"/>
      <c r="I52" s="89"/>
      <c r="J52" s="88"/>
    </row>
    <row r="53" spans="3:10" ht="15">
      <c r="C53" s="45"/>
      <c r="D53" s="48"/>
      <c r="E53" s="45"/>
      <c r="F53" s="48"/>
      <c r="H53" s="51"/>
      <c r="I53" s="85"/>
      <c r="J53" s="72"/>
    </row>
    <row r="54" spans="3:10">
      <c r="C54" s="45"/>
      <c r="D54" s="203"/>
      <c r="E54" s="86"/>
      <c r="F54" s="48"/>
      <c r="H54" s="88"/>
      <c r="I54" s="89"/>
      <c r="J54" s="88"/>
    </row>
    <row r="55" spans="3:10">
      <c r="C55" s="45"/>
      <c r="D55" s="48"/>
      <c r="E55" s="86"/>
      <c r="F55" s="48"/>
      <c r="H55" s="72"/>
      <c r="I55" s="85"/>
    </row>
    <row r="56" spans="3:10">
      <c r="C56" s="45"/>
      <c r="D56" s="48"/>
      <c r="E56" s="45"/>
      <c r="F56" s="48"/>
      <c r="I56" s="85"/>
    </row>
    <row r="57" spans="3:10" ht="15">
      <c r="C57" s="45"/>
      <c r="D57" s="45"/>
      <c r="E57" s="45"/>
      <c r="F57" s="48"/>
      <c r="H57" s="51"/>
      <c r="I57" s="85"/>
    </row>
    <row r="58" spans="3:10">
      <c r="C58" s="45"/>
      <c r="D58" s="45"/>
      <c r="E58" s="45"/>
      <c r="F58" s="48"/>
      <c r="I58" s="85"/>
    </row>
    <row r="59" spans="3:10">
      <c r="C59" s="45"/>
      <c r="D59" s="45"/>
      <c r="E59" s="45"/>
      <c r="F59" s="48"/>
      <c r="I59" s="85"/>
    </row>
    <row r="60" spans="3:10" ht="15">
      <c r="C60" s="45"/>
      <c r="D60" s="45"/>
      <c r="E60" s="45"/>
      <c r="F60" s="48"/>
      <c r="H60" s="51"/>
      <c r="I60" s="85"/>
    </row>
    <row r="61" spans="3:10">
      <c r="C61" s="45"/>
      <c r="D61" s="45"/>
      <c r="E61" s="45"/>
      <c r="F61" s="48"/>
      <c r="I61" s="85"/>
    </row>
    <row r="62" spans="3:10">
      <c r="C62" s="45"/>
      <c r="D62" s="45"/>
      <c r="E62" s="48"/>
    </row>
    <row r="63" spans="3:10">
      <c r="C63" s="45"/>
      <c r="D63" s="45"/>
      <c r="E63" s="48"/>
    </row>
    <row r="64" spans="3:10">
      <c r="C64" s="45"/>
      <c r="D64" s="45"/>
      <c r="E64" s="48"/>
    </row>
    <row r="65" spans="3:5">
      <c r="C65" s="45"/>
      <c r="D65" s="45"/>
      <c r="E65" s="48"/>
    </row>
    <row r="66" spans="3:5">
      <c r="C66" s="45"/>
      <c r="D66" s="45"/>
      <c r="E66" s="48"/>
    </row>
    <row r="67" spans="3:5">
      <c r="C67" s="45"/>
      <c r="D67" s="45"/>
      <c r="E67" s="48"/>
    </row>
    <row r="68" spans="3:5">
      <c r="C68" s="45"/>
      <c r="D68" s="45"/>
      <c r="E68" s="48"/>
    </row>
    <row r="69" spans="3:5">
      <c r="C69" s="45"/>
      <c r="D69" s="45"/>
      <c r="E69" s="48"/>
    </row>
    <row r="70" spans="3:5">
      <c r="C70" s="45"/>
      <c r="D70" s="45"/>
      <c r="E70" s="48"/>
    </row>
    <row r="71" spans="3:5">
      <c r="C71" s="45"/>
      <c r="D71" s="45"/>
      <c r="E71" s="48"/>
    </row>
    <row r="72" spans="3:5">
      <c r="C72" s="45"/>
      <c r="D72" s="45"/>
      <c r="E72" s="48"/>
    </row>
    <row r="73" spans="3:5">
      <c r="C73" s="45"/>
      <c r="D73" s="45"/>
      <c r="E73" s="48"/>
    </row>
    <row r="74" spans="3:5">
      <c r="C74" s="45"/>
      <c r="D74" s="45"/>
      <c r="E74" s="48"/>
    </row>
    <row r="75" spans="3:5">
      <c r="C75" s="45"/>
      <c r="D75" s="45"/>
      <c r="E75" s="48"/>
    </row>
    <row r="76" spans="3:5">
      <c r="C76" s="45"/>
      <c r="D76" s="45"/>
      <c r="E76" s="48"/>
    </row>
    <row r="77" spans="3:5">
      <c r="C77" s="45"/>
      <c r="D77" s="45"/>
      <c r="E77" s="48"/>
    </row>
    <row r="78" spans="3:5">
      <c r="C78" s="45"/>
      <c r="D78" s="45"/>
      <c r="E78" s="48"/>
    </row>
    <row r="79" spans="3:5">
      <c r="C79" s="45"/>
      <c r="D79" s="45"/>
      <c r="E79" s="48"/>
    </row>
    <row r="80" spans="3:5">
      <c r="C80" s="45"/>
      <c r="D80" s="45"/>
      <c r="E80" s="48"/>
    </row>
    <row r="81" spans="3:5">
      <c r="C81" s="45"/>
      <c r="D81" s="45"/>
      <c r="E81" s="48"/>
    </row>
    <row r="82" spans="3:5">
      <c r="C82" s="45"/>
      <c r="D82" s="45"/>
      <c r="E82" s="48"/>
    </row>
    <row r="83" spans="3:5">
      <c r="C83" s="45"/>
      <c r="D83" s="45"/>
      <c r="E83" s="48"/>
    </row>
    <row r="84" spans="3:5">
      <c r="C84" s="45"/>
      <c r="D84" s="45"/>
      <c r="E84" s="48"/>
    </row>
    <row r="85" spans="3:5">
      <c r="C85" s="45"/>
      <c r="D85" s="45"/>
      <c r="E85" s="48"/>
    </row>
    <row r="86" spans="3:5">
      <c r="C86" s="45"/>
      <c r="D86" s="45"/>
      <c r="E86" s="48"/>
    </row>
    <row r="87" spans="3:5">
      <c r="C87" s="45"/>
      <c r="D87" s="45"/>
      <c r="E87" s="48"/>
    </row>
    <row r="88" spans="3:5">
      <c r="C88" s="45"/>
      <c r="D88" s="45"/>
      <c r="E88" s="48"/>
    </row>
    <row r="89" spans="3:5">
      <c r="C89" s="45"/>
      <c r="D89" s="45"/>
      <c r="E89" s="48"/>
    </row>
    <row r="90" spans="3:5">
      <c r="C90" s="45"/>
      <c r="D90" s="45"/>
      <c r="E90" s="48"/>
    </row>
    <row r="91" spans="3:5">
      <c r="C91" s="45"/>
      <c r="D91" s="45"/>
      <c r="E91" s="48"/>
    </row>
    <row r="92" spans="3:5">
      <c r="C92" s="45"/>
      <c r="D92" s="45"/>
      <c r="E92" s="48"/>
    </row>
    <row r="93" spans="3:5">
      <c r="C93" s="45"/>
      <c r="D93" s="45"/>
      <c r="E93" s="48"/>
    </row>
    <row r="94" spans="3:5">
      <c r="C94" s="45"/>
      <c r="D94" s="45"/>
      <c r="E94" s="48"/>
    </row>
    <row r="95" spans="3:5">
      <c r="C95" s="45"/>
      <c r="D95" s="45"/>
      <c r="E95" s="48"/>
    </row>
    <row r="96" spans="3:5">
      <c r="C96" s="45"/>
      <c r="D96" s="45"/>
      <c r="E96" s="48"/>
    </row>
    <row r="97" spans="3:5">
      <c r="C97" s="45"/>
      <c r="D97" s="45"/>
      <c r="E97" s="48"/>
    </row>
    <row r="98" spans="3:5">
      <c r="C98" s="45"/>
      <c r="D98" s="45"/>
      <c r="E98" s="48"/>
    </row>
    <row r="99" spans="3:5">
      <c r="C99" s="45"/>
      <c r="D99" s="45"/>
      <c r="E99" s="48"/>
    </row>
    <row r="100" spans="3:5">
      <c r="C100" s="45"/>
      <c r="D100" s="45"/>
      <c r="E100" s="48"/>
    </row>
    <row r="101" spans="3:5">
      <c r="C101" s="45"/>
      <c r="D101" s="45"/>
      <c r="E101" s="48"/>
    </row>
    <row r="102" spans="3:5">
      <c r="C102" s="45"/>
      <c r="D102" s="45"/>
      <c r="E102" s="48"/>
    </row>
  </sheetData>
  <phoneticPr fontId="0" type="noConversion"/>
  <pageMargins left="0.75" right="0.75" top="1" bottom="1" header="0.5" footer="0.5"/>
  <pageSetup paperSize="9" orientation="portrait" r:id="rId1"/>
  <headerFooter alignWithMargins="0"/>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C1:R8"/>
  <sheetViews>
    <sheetView workbookViewId="0">
      <selection activeCell="J40" sqref="J40"/>
    </sheetView>
  </sheetViews>
  <sheetFormatPr defaultColWidth="8.85546875" defaultRowHeight="12.75"/>
  <cols>
    <col min="6" max="6" width="12.42578125" bestFit="1" customWidth="1"/>
    <col min="7" max="7" width="9.42578125" customWidth="1"/>
    <col min="8" max="8" width="9.85546875" customWidth="1"/>
    <col min="10" max="10" width="12" bestFit="1" customWidth="1"/>
    <col min="11" max="11" width="11" bestFit="1" customWidth="1"/>
  </cols>
  <sheetData>
    <row r="1" spans="3:18" ht="15">
      <c r="C1" s="50" t="s">
        <v>1017</v>
      </c>
    </row>
    <row r="2" spans="3:18" ht="15">
      <c r="C2" s="50" t="s">
        <v>1018</v>
      </c>
    </row>
    <row r="4" spans="3:18">
      <c r="F4" s="219" t="s">
        <v>527</v>
      </c>
      <c r="G4" s="219"/>
      <c r="H4" s="220" t="s">
        <v>1019</v>
      </c>
      <c r="I4" s="220"/>
      <c r="J4" s="45" t="s">
        <v>1048</v>
      </c>
    </row>
    <row r="5" spans="3:18">
      <c r="E5" s="46"/>
      <c r="F5" s="220" t="s">
        <v>5</v>
      </c>
      <c r="G5" s="220"/>
      <c r="H5" s="220" t="s">
        <v>7</v>
      </c>
      <c r="I5" s="220"/>
      <c r="J5" s="45" t="s">
        <v>1487</v>
      </c>
      <c r="P5" s="45"/>
      <c r="R5" s="45"/>
    </row>
    <row r="6" spans="3:18">
      <c r="E6" s="45"/>
      <c r="F6" s="45" t="s">
        <v>1021</v>
      </c>
      <c r="G6" s="45" t="s">
        <v>1020</v>
      </c>
      <c r="H6" s="45" t="s">
        <v>1021</v>
      </c>
      <c r="I6" s="45" t="s">
        <v>1020</v>
      </c>
    </row>
    <row r="7" spans="3:18">
      <c r="C7" s="45" t="s">
        <v>1022</v>
      </c>
      <c r="E7" s="45" t="s">
        <v>1486</v>
      </c>
      <c r="F7">
        <f>4/(3600*24*365)</f>
        <v>1.2683916793505834E-7</v>
      </c>
      <c r="H7" s="45" t="s">
        <v>1047</v>
      </c>
      <c r="J7" s="69">
        <f>F7*working_capacity</f>
        <v>7.4581430745814309E-3</v>
      </c>
      <c r="O7" s="60"/>
      <c r="P7" s="45"/>
    </row>
    <row r="8" spans="3:18">
      <c r="C8" s="45" t="s">
        <v>1530</v>
      </c>
      <c r="E8" s="45" t="s">
        <v>7</v>
      </c>
      <c r="H8" s="45"/>
      <c r="J8" s="69">
        <f>F8*working_capacity+0.8</f>
        <v>0.8</v>
      </c>
      <c r="K8" s="1"/>
    </row>
  </sheetData>
  <mergeCells count="4">
    <mergeCell ref="F4:G4"/>
    <mergeCell ref="H4:I4"/>
    <mergeCell ref="F5:G5"/>
    <mergeCell ref="H5:I5"/>
  </mergeCells>
  <pageMargins left="0.7" right="0.7" top="0.75" bottom="0.75" header="0.3" footer="0.3"/>
  <pageSetup paperSize="0" orientation="portrait"/>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32"/>
  <sheetViews>
    <sheetView workbookViewId="0">
      <selection activeCell="L190" sqref="L190"/>
    </sheetView>
  </sheetViews>
  <sheetFormatPr defaultColWidth="8.85546875" defaultRowHeight="12.75"/>
  <cols>
    <col min="1" max="1" width="27.140625" bestFit="1" customWidth="1"/>
    <col min="2" max="2" width="27.85546875" bestFit="1" customWidth="1"/>
    <col min="3" max="3" width="33.140625" customWidth="1"/>
    <col min="4" max="4" width="13.7109375" bestFit="1" customWidth="1"/>
    <col min="5" max="5" width="19.140625" bestFit="1" customWidth="1"/>
    <col min="6" max="6" width="11.28515625" bestFit="1" customWidth="1"/>
    <col min="8" max="8" width="9.42578125" customWidth="1"/>
    <col min="16" max="16" width="12.42578125" bestFit="1" customWidth="1"/>
  </cols>
  <sheetData>
    <row r="1" spans="1:8" ht="25.5">
      <c r="A1" s="2" t="s">
        <v>2</v>
      </c>
      <c r="B1" s="2" t="s">
        <v>1446</v>
      </c>
      <c r="C1" s="2" t="s">
        <v>539</v>
      </c>
      <c r="D1" s="2" t="s">
        <v>6</v>
      </c>
      <c r="E1" s="9" t="s">
        <v>578</v>
      </c>
      <c r="F1" s="9" t="s">
        <v>1519</v>
      </c>
      <c r="G1" s="2"/>
      <c r="H1" s="2"/>
    </row>
    <row r="2" spans="1:8" ht="15">
      <c r="A2" s="57" t="s">
        <v>1444</v>
      </c>
      <c r="B2" s="207" t="s">
        <v>1467</v>
      </c>
      <c r="C2" s="207"/>
      <c r="D2" s="2"/>
      <c r="E2" s="9"/>
      <c r="F2" s="2"/>
      <c r="G2" s="2"/>
      <c r="H2" s="2"/>
    </row>
    <row r="3" spans="1:8">
      <c r="A3" t="s">
        <v>540</v>
      </c>
      <c r="B3" t="s">
        <v>543</v>
      </c>
      <c r="C3" t="s">
        <v>8</v>
      </c>
      <c r="D3" t="s">
        <v>7</v>
      </c>
      <c r="E3">
        <v>0.22</v>
      </c>
      <c r="F3">
        <v>2</v>
      </c>
    </row>
    <row r="4" spans="1:8">
      <c r="A4" t="s">
        <v>540</v>
      </c>
      <c r="B4" t="s">
        <v>543</v>
      </c>
      <c r="C4" s="5" t="s">
        <v>544</v>
      </c>
      <c r="D4" s="5" t="s">
        <v>7</v>
      </c>
      <c r="E4">
        <v>0.39</v>
      </c>
      <c r="F4">
        <v>2</v>
      </c>
    </row>
    <row r="5" spans="1:8">
      <c r="A5" t="s">
        <v>540</v>
      </c>
      <c r="B5" t="s">
        <v>543</v>
      </c>
      <c r="C5" t="s">
        <v>9</v>
      </c>
      <c r="D5" t="s">
        <v>7</v>
      </c>
      <c r="E5">
        <v>0.04</v>
      </c>
      <c r="F5">
        <v>1.4</v>
      </c>
    </row>
    <row r="6" spans="1:8">
      <c r="A6" t="s">
        <v>540</v>
      </c>
      <c r="B6" t="s">
        <v>543</v>
      </c>
      <c r="C6" t="s">
        <v>1394</v>
      </c>
      <c r="D6" t="s">
        <v>7</v>
      </c>
      <c r="E6">
        <v>2.1</v>
      </c>
      <c r="F6">
        <v>2.1</v>
      </c>
    </row>
    <row r="7" spans="1:8">
      <c r="A7" t="s">
        <v>540</v>
      </c>
      <c r="B7" t="s">
        <v>649</v>
      </c>
      <c r="C7" t="s">
        <v>650</v>
      </c>
      <c r="D7" t="s">
        <v>5</v>
      </c>
      <c r="E7" s="8">
        <v>80000</v>
      </c>
      <c r="F7">
        <v>2</v>
      </c>
    </row>
    <row r="8" spans="1:8">
      <c r="A8" t="s">
        <v>542</v>
      </c>
      <c r="B8" t="s">
        <v>545</v>
      </c>
      <c r="C8" s="5" t="s">
        <v>531</v>
      </c>
      <c r="D8" s="5" t="s">
        <v>7</v>
      </c>
      <c r="E8" s="5">
        <v>2E-3</v>
      </c>
      <c r="F8">
        <v>2</v>
      </c>
    </row>
    <row r="9" spans="1:8">
      <c r="A9" t="s">
        <v>542</v>
      </c>
      <c r="B9" t="s">
        <v>545</v>
      </c>
      <c r="C9" s="5" t="s">
        <v>532</v>
      </c>
      <c r="D9" s="5" t="s">
        <v>7</v>
      </c>
      <c r="E9" s="5">
        <v>1E-3</v>
      </c>
      <c r="F9">
        <v>2</v>
      </c>
    </row>
    <row r="10" spans="1:8">
      <c r="A10" t="s">
        <v>541</v>
      </c>
      <c r="B10" t="s">
        <v>26</v>
      </c>
      <c r="C10" t="s">
        <v>12</v>
      </c>
      <c r="D10" t="s">
        <v>7</v>
      </c>
      <c r="E10" s="40">
        <f>oilvalue</f>
        <v>0.47</v>
      </c>
      <c r="F10">
        <v>1.4</v>
      </c>
    </row>
    <row r="11" spans="1:8">
      <c r="A11" t="s">
        <v>541</v>
      </c>
      <c r="B11" t="s">
        <v>27</v>
      </c>
      <c r="C11" t="s">
        <v>13</v>
      </c>
      <c r="D11" t="s">
        <v>7</v>
      </c>
      <c r="E11" s="68">
        <f>coalvalue</f>
        <v>0.16103634925287935</v>
      </c>
      <c r="F11">
        <v>2</v>
      </c>
    </row>
    <row r="12" spans="1:8">
      <c r="A12" t="s">
        <v>541</v>
      </c>
      <c r="B12" t="s">
        <v>28</v>
      </c>
      <c r="C12" t="s">
        <v>14</v>
      </c>
      <c r="D12" t="s">
        <v>7</v>
      </c>
      <c r="E12" s="68">
        <f>naturalgasvalue</f>
        <v>0.27689346043359375</v>
      </c>
      <c r="F12">
        <v>2</v>
      </c>
    </row>
    <row r="13" spans="1:8">
      <c r="A13" t="s">
        <v>541</v>
      </c>
      <c r="B13" t="s">
        <v>89</v>
      </c>
      <c r="C13" t="s">
        <v>148</v>
      </c>
      <c r="D13" t="s">
        <v>11</v>
      </c>
      <c r="E13" s="70">
        <f>Ag_orevalue</f>
        <v>72760</v>
      </c>
      <c r="F13">
        <v>3</v>
      </c>
      <c r="H13" s="1"/>
    </row>
    <row r="14" spans="1:8">
      <c r="A14" t="s">
        <v>541</v>
      </c>
      <c r="B14" t="s">
        <v>29</v>
      </c>
      <c r="C14" t="s">
        <v>15</v>
      </c>
      <c r="D14" t="s">
        <v>11</v>
      </c>
      <c r="E14" s="70">
        <f>Al_orevalue</f>
        <v>0.34728209740221117</v>
      </c>
      <c r="F14">
        <v>2</v>
      </c>
    </row>
    <row r="15" spans="1:8">
      <c r="A15" t="s">
        <v>541</v>
      </c>
      <c r="B15" t="s">
        <v>90</v>
      </c>
      <c r="C15" t="s">
        <v>149</v>
      </c>
      <c r="D15" t="s">
        <v>11</v>
      </c>
      <c r="E15" s="70">
        <f>As_orevalue</f>
        <v>2425.3333333333335</v>
      </c>
      <c r="F15">
        <v>3</v>
      </c>
      <c r="H15" s="1"/>
    </row>
    <row r="16" spans="1:8">
      <c r="A16" t="s">
        <v>541</v>
      </c>
      <c r="B16" t="s">
        <v>32</v>
      </c>
      <c r="C16" t="s">
        <v>98</v>
      </c>
      <c r="D16" t="s">
        <v>11</v>
      </c>
      <c r="E16" s="70">
        <f>Au_orevalue</f>
        <v>2021111.1111111112</v>
      </c>
      <c r="F16">
        <v>3</v>
      </c>
    </row>
    <row r="17" spans="1:6">
      <c r="A17" t="s">
        <v>541</v>
      </c>
      <c r="B17" t="s">
        <v>81</v>
      </c>
      <c r="C17" t="s">
        <v>17</v>
      </c>
      <c r="D17" t="s">
        <v>11</v>
      </c>
      <c r="E17" s="70">
        <f>B_orevalue</f>
        <v>0.05</v>
      </c>
      <c r="F17">
        <v>5</v>
      </c>
    </row>
    <row r="18" spans="1:6">
      <c r="A18" t="s">
        <v>541</v>
      </c>
      <c r="B18" t="s">
        <v>33</v>
      </c>
      <c r="C18" t="s">
        <v>99</v>
      </c>
      <c r="D18" t="s">
        <v>11</v>
      </c>
      <c r="E18" s="70">
        <f>Ba_orevalue</f>
        <v>6.6145454545454543</v>
      </c>
      <c r="F18">
        <v>3</v>
      </c>
    </row>
    <row r="19" spans="1:6">
      <c r="A19" t="s">
        <v>541</v>
      </c>
      <c r="B19" t="s">
        <v>34</v>
      </c>
      <c r="C19" t="s">
        <v>100</v>
      </c>
      <c r="D19" t="s">
        <v>11</v>
      </c>
      <c r="E19" s="70">
        <f>Be_orevalue</f>
        <v>1212.6666666666667</v>
      </c>
      <c r="F19">
        <v>3</v>
      </c>
    </row>
    <row r="20" spans="1:6">
      <c r="A20" t="s">
        <v>541</v>
      </c>
      <c r="B20" t="s">
        <v>91</v>
      </c>
      <c r="C20" t="s">
        <v>150</v>
      </c>
      <c r="D20" t="s">
        <v>11</v>
      </c>
      <c r="E20" s="70">
        <f>Bi_orevalue</f>
        <v>27984.615384615383</v>
      </c>
      <c r="F20">
        <v>3</v>
      </c>
    </row>
    <row r="21" spans="1:6">
      <c r="A21" t="s">
        <v>541</v>
      </c>
      <c r="B21" t="s">
        <v>82</v>
      </c>
      <c r="C21" t="s">
        <v>18</v>
      </c>
      <c r="D21" t="s">
        <v>11</v>
      </c>
      <c r="E21" s="70">
        <f>Br_orevalue</f>
        <v>0</v>
      </c>
      <c r="F21">
        <v>1</v>
      </c>
    </row>
    <row r="22" spans="1:6">
      <c r="A22" t="s">
        <v>541</v>
      </c>
      <c r="B22" t="s">
        <v>92</v>
      </c>
      <c r="C22" t="s">
        <v>151</v>
      </c>
      <c r="D22" t="s">
        <v>11</v>
      </c>
      <c r="E22" s="70">
        <f>Cd_orevalue</f>
        <v>70463.265306122441</v>
      </c>
      <c r="F22">
        <v>3</v>
      </c>
    </row>
    <row r="23" spans="1:6">
      <c r="A23" t="s">
        <v>541</v>
      </c>
      <c r="B23" t="s">
        <v>35</v>
      </c>
      <c r="C23" t="s">
        <v>101</v>
      </c>
      <c r="D23" t="s">
        <v>11</v>
      </c>
      <c r="E23" s="70">
        <f>Ce_orevalue</f>
        <v>56.84375</v>
      </c>
      <c r="F23">
        <v>3</v>
      </c>
    </row>
    <row r="24" spans="1:6">
      <c r="A24" t="s">
        <v>541</v>
      </c>
      <c r="B24" t="s">
        <v>88</v>
      </c>
      <c r="C24" t="s">
        <v>25</v>
      </c>
      <c r="D24" t="s">
        <v>11</v>
      </c>
      <c r="E24" s="70">
        <f>Cl_orevalue</f>
        <v>0</v>
      </c>
      <c r="F24">
        <v>1</v>
      </c>
    </row>
    <row r="25" spans="1:6">
      <c r="A25" t="s">
        <v>541</v>
      </c>
      <c r="B25" t="s">
        <v>36</v>
      </c>
      <c r="C25" t="s">
        <v>102</v>
      </c>
      <c r="D25" t="s">
        <v>11</v>
      </c>
      <c r="E25" s="70">
        <f>Co_orevalue</f>
        <v>178.7764705882353</v>
      </c>
      <c r="F25">
        <v>3</v>
      </c>
    </row>
    <row r="26" spans="1:6">
      <c r="A26" t="s">
        <v>541</v>
      </c>
      <c r="B26" t="s">
        <v>37</v>
      </c>
      <c r="C26" t="s">
        <v>103</v>
      </c>
      <c r="D26" t="s">
        <v>11</v>
      </c>
      <c r="E26" s="70">
        <f>Cr_orevalue</f>
        <v>59.457831325301207</v>
      </c>
      <c r="F26">
        <v>3</v>
      </c>
    </row>
    <row r="27" spans="1:6">
      <c r="A27" t="s">
        <v>541</v>
      </c>
      <c r="B27" t="s">
        <v>38</v>
      </c>
      <c r="C27" t="s">
        <v>104</v>
      </c>
      <c r="D27" t="s">
        <v>11</v>
      </c>
      <c r="E27" s="70">
        <f>Ce_orevalue</f>
        <v>56.84375</v>
      </c>
      <c r="F27">
        <v>3</v>
      </c>
    </row>
    <row r="28" spans="1:6">
      <c r="A28" t="s">
        <v>541</v>
      </c>
      <c r="B28" t="s">
        <v>31</v>
      </c>
      <c r="C28" t="s">
        <v>97</v>
      </c>
      <c r="D28" t="s">
        <v>11</v>
      </c>
      <c r="E28" s="70">
        <f>Cu_orevalue</f>
        <v>90.948000000000008</v>
      </c>
      <c r="F28">
        <v>3</v>
      </c>
    </row>
    <row r="29" spans="1:6">
      <c r="A29" t="s">
        <v>541</v>
      </c>
      <c r="B29" t="s">
        <v>39</v>
      </c>
      <c r="C29" t="s">
        <v>105</v>
      </c>
      <c r="D29" t="s">
        <v>11</v>
      </c>
      <c r="E29" s="70">
        <f>Dy_orevalue</f>
        <v>1039.4285714285713</v>
      </c>
      <c r="F29">
        <v>3</v>
      </c>
    </row>
    <row r="30" spans="1:6">
      <c r="A30" t="s">
        <v>541</v>
      </c>
      <c r="B30" t="s">
        <v>40</v>
      </c>
      <c r="C30" t="s">
        <v>106</v>
      </c>
      <c r="D30" t="s">
        <v>11</v>
      </c>
      <c r="E30" s="70">
        <f>Er_orevalue</f>
        <v>1581.7391304347827</v>
      </c>
      <c r="F30">
        <v>3</v>
      </c>
    </row>
    <row r="31" spans="1:6">
      <c r="A31" t="s">
        <v>541</v>
      </c>
      <c r="B31" t="s">
        <v>41</v>
      </c>
      <c r="C31" t="s">
        <v>107</v>
      </c>
      <c r="D31" t="s">
        <v>11</v>
      </c>
      <c r="E31" s="70">
        <f>Eu_orevalue</f>
        <v>4134.090909090909</v>
      </c>
      <c r="F31">
        <v>3</v>
      </c>
    </row>
    <row r="32" spans="1:6">
      <c r="A32" t="s">
        <v>541</v>
      </c>
      <c r="B32" t="s">
        <v>42</v>
      </c>
      <c r="C32" t="s">
        <v>108</v>
      </c>
      <c r="D32" t="s">
        <v>11</v>
      </c>
      <c r="E32" s="70">
        <f>F_orevalue</f>
        <v>6.2188034188034189</v>
      </c>
      <c r="F32">
        <v>3</v>
      </c>
    </row>
    <row r="33" spans="1:6">
      <c r="A33" t="s">
        <v>541</v>
      </c>
      <c r="B33" t="s">
        <v>30</v>
      </c>
      <c r="C33" t="s">
        <v>16</v>
      </c>
      <c r="D33" t="s">
        <v>11</v>
      </c>
      <c r="E33" s="70">
        <f>Fe_orevalue</f>
        <v>0.81003952519780287</v>
      </c>
      <c r="F33">
        <v>2</v>
      </c>
    </row>
    <row r="34" spans="1:6">
      <c r="A34" t="s">
        <v>541</v>
      </c>
      <c r="B34" t="s">
        <v>43</v>
      </c>
      <c r="C34" t="s">
        <v>109</v>
      </c>
      <c r="D34" t="s">
        <v>11</v>
      </c>
      <c r="E34" s="70">
        <f>Ga_orevalue</f>
        <v>214</v>
      </c>
      <c r="F34">
        <v>3</v>
      </c>
    </row>
    <row r="35" spans="1:6">
      <c r="A35" t="s">
        <v>541</v>
      </c>
      <c r="B35" t="s">
        <v>44</v>
      </c>
      <c r="C35" t="s">
        <v>110</v>
      </c>
      <c r="D35" t="s">
        <v>11</v>
      </c>
      <c r="E35" s="70">
        <f>Gd_orevalue</f>
        <v>957.36842105263167</v>
      </c>
      <c r="F35">
        <v>3</v>
      </c>
    </row>
    <row r="36" spans="1:6">
      <c r="A36" t="s">
        <v>541</v>
      </c>
      <c r="B36" t="s">
        <v>45</v>
      </c>
      <c r="C36" t="s">
        <v>111</v>
      </c>
      <c r="D36" t="s">
        <v>11</v>
      </c>
      <c r="E36" s="70">
        <f>Ge_orevalue</f>
        <v>2273.75</v>
      </c>
      <c r="F36">
        <v>3</v>
      </c>
    </row>
    <row r="37" spans="1:6">
      <c r="A37" t="s">
        <v>541</v>
      </c>
      <c r="B37" t="s">
        <v>83</v>
      </c>
      <c r="C37" t="s">
        <v>19</v>
      </c>
      <c r="D37" t="s">
        <v>11</v>
      </c>
      <c r="E37" s="70">
        <f>H_value</f>
        <v>0</v>
      </c>
      <c r="F37">
        <v>1</v>
      </c>
    </row>
    <row r="38" spans="1:6">
      <c r="A38" t="s">
        <v>541</v>
      </c>
      <c r="B38" t="s">
        <v>46</v>
      </c>
      <c r="C38" t="s">
        <v>112</v>
      </c>
      <c r="D38" t="s">
        <v>11</v>
      </c>
      <c r="E38" s="70">
        <f>Hf_orevalue</f>
        <v>627.24137931034488</v>
      </c>
      <c r="F38">
        <v>3</v>
      </c>
    </row>
    <row r="39" spans="1:6">
      <c r="A39" t="s">
        <v>541</v>
      </c>
      <c r="B39" t="s">
        <v>93</v>
      </c>
      <c r="C39" t="s">
        <v>152</v>
      </c>
      <c r="D39" t="s">
        <v>11</v>
      </c>
      <c r="E39" s="70">
        <f>Hg_orevalue</f>
        <v>54298.507462686561</v>
      </c>
      <c r="F39">
        <v>3</v>
      </c>
    </row>
    <row r="40" spans="1:6">
      <c r="A40" t="s">
        <v>541</v>
      </c>
      <c r="B40" t="s">
        <v>47</v>
      </c>
      <c r="C40" t="s">
        <v>113</v>
      </c>
      <c r="D40" t="s">
        <v>11</v>
      </c>
      <c r="E40" s="70">
        <f>Ho_orevalue</f>
        <v>4547.5</v>
      </c>
      <c r="F40">
        <v>3</v>
      </c>
    </row>
    <row r="41" spans="1:6">
      <c r="A41" t="s">
        <v>541</v>
      </c>
      <c r="B41" t="s">
        <v>48</v>
      </c>
      <c r="C41" t="s">
        <v>118</v>
      </c>
      <c r="D41" t="s">
        <v>11</v>
      </c>
      <c r="E41" s="69">
        <f>I_orevalue</f>
        <v>0</v>
      </c>
      <c r="F41">
        <v>1</v>
      </c>
    </row>
    <row r="42" spans="1:6">
      <c r="A42" t="s">
        <v>541</v>
      </c>
      <c r="B42" t="s">
        <v>48</v>
      </c>
      <c r="C42" t="s">
        <v>24</v>
      </c>
      <c r="D42" t="s">
        <v>11</v>
      </c>
      <c r="E42" s="69">
        <f>I_orevalue</f>
        <v>0</v>
      </c>
      <c r="F42">
        <v>1</v>
      </c>
    </row>
    <row r="43" spans="1:6">
      <c r="A43" t="s">
        <v>541</v>
      </c>
      <c r="B43" t="s">
        <v>49</v>
      </c>
      <c r="C43" t="s">
        <v>114</v>
      </c>
      <c r="D43" t="s">
        <v>11</v>
      </c>
      <c r="E43" s="70">
        <f>In_orevalue</f>
        <v>72760</v>
      </c>
      <c r="F43">
        <v>3</v>
      </c>
    </row>
    <row r="44" spans="1:6">
      <c r="A44" t="s">
        <v>541</v>
      </c>
      <c r="B44" t="s">
        <v>50</v>
      </c>
      <c r="C44" t="s">
        <v>115</v>
      </c>
      <c r="D44" t="s">
        <v>11</v>
      </c>
      <c r="E44" s="70">
        <f>Ir_orevalue</f>
        <v>165363636.36363637</v>
      </c>
      <c r="F44">
        <v>3</v>
      </c>
    </row>
    <row r="45" spans="1:6">
      <c r="A45" t="s">
        <v>541</v>
      </c>
      <c r="B45" t="s">
        <v>85</v>
      </c>
      <c r="C45" t="s">
        <v>21</v>
      </c>
      <c r="D45" t="s">
        <v>11</v>
      </c>
      <c r="E45" s="70">
        <f>K_orevalue</f>
        <v>0.01</v>
      </c>
      <c r="F45">
        <v>5</v>
      </c>
    </row>
    <row r="46" spans="1:6">
      <c r="A46" t="s">
        <v>541</v>
      </c>
      <c r="B46" t="s">
        <v>51</v>
      </c>
      <c r="C46" t="s">
        <v>116</v>
      </c>
      <c r="D46" t="s">
        <v>11</v>
      </c>
      <c r="E46" s="70">
        <f>La_orevalue</f>
        <v>121.26666666666667</v>
      </c>
      <c r="F46">
        <v>3</v>
      </c>
    </row>
    <row r="47" spans="1:6">
      <c r="A47" t="s">
        <v>541</v>
      </c>
      <c r="B47" t="s">
        <v>52</v>
      </c>
      <c r="C47" t="s">
        <v>117</v>
      </c>
      <c r="D47" t="s">
        <v>11</v>
      </c>
      <c r="E47" s="70">
        <f>Li_orevalue</f>
        <v>0.1</v>
      </c>
      <c r="F47">
        <v>5</v>
      </c>
    </row>
    <row r="48" spans="1:6">
      <c r="A48" t="s">
        <v>541</v>
      </c>
      <c r="B48" t="s">
        <v>53</v>
      </c>
      <c r="C48" t="s">
        <v>119</v>
      </c>
      <c r="D48" t="s">
        <v>11</v>
      </c>
      <c r="E48" s="70">
        <f>Lu_orevalue</f>
        <v>11368.75</v>
      </c>
      <c r="F48">
        <v>3</v>
      </c>
    </row>
    <row r="49" spans="1:6">
      <c r="A49" t="s">
        <v>541</v>
      </c>
      <c r="B49" t="s">
        <v>86</v>
      </c>
      <c r="C49" t="s">
        <v>22</v>
      </c>
      <c r="D49" t="s">
        <v>11</v>
      </c>
      <c r="E49" s="70">
        <f>Mg_orevalue</f>
        <v>0</v>
      </c>
      <c r="F49">
        <v>1</v>
      </c>
    </row>
    <row r="50" spans="1:6">
      <c r="A50" t="s">
        <v>541</v>
      </c>
      <c r="B50" t="s">
        <v>54</v>
      </c>
      <c r="C50" t="s">
        <v>120</v>
      </c>
      <c r="D50" t="s">
        <v>11</v>
      </c>
      <c r="E50" s="70">
        <f>Mn_orevalue</f>
        <v>4.9186666666666659</v>
      </c>
      <c r="F50">
        <v>3</v>
      </c>
    </row>
    <row r="51" spans="1:6">
      <c r="A51" t="s">
        <v>541</v>
      </c>
      <c r="B51" t="s">
        <v>549</v>
      </c>
      <c r="C51" t="s">
        <v>296</v>
      </c>
      <c r="D51" t="s">
        <v>11</v>
      </c>
      <c r="E51" s="70">
        <f>Mo_orevalue</f>
        <v>2425.3333333333335</v>
      </c>
      <c r="F51">
        <v>3</v>
      </c>
    </row>
    <row r="52" spans="1:6">
      <c r="A52" t="s">
        <v>541</v>
      </c>
      <c r="B52" t="s">
        <v>84</v>
      </c>
      <c r="C52" t="s">
        <v>20</v>
      </c>
      <c r="D52" t="s">
        <v>11</v>
      </c>
      <c r="E52" s="69">
        <f>Na_orevalue</f>
        <v>0</v>
      </c>
      <c r="F52">
        <v>1</v>
      </c>
    </row>
    <row r="53" spans="1:6">
      <c r="A53" t="s">
        <v>541</v>
      </c>
      <c r="B53" t="s">
        <v>55</v>
      </c>
      <c r="C53" t="s">
        <v>121</v>
      </c>
      <c r="D53" t="s">
        <v>11</v>
      </c>
      <c r="E53" s="70">
        <f>Nb_orevalue</f>
        <v>303.16666666666669</v>
      </c>
      <c r="F53">
        <v>3</v>
      </c>
    </row>
    <row r="54" spans="1:6">
      <c r="A54" t="s">
        <v>541</v>
      </c>
      <c r="B54" t="s">
        <v>1412</v>
      </c>
      <c r="C54" t="s">
        <v>1413</v>
      </c>
      <c r="D54" t="s">
        <v>11</v>
      </c>
      <c r="E54" s="70">
        <f>Ni_orevalue</f>
        <v>107.37272727272727</v>
      </c>
      <c r="F54">
        <v>3</v>
      </c>
    </row>
    <row r="55" spans="1:6">
      <c r="A55" t="s">
        <v>541</v>
      </c>
      <c r="B55" t="s">
        <v>56</v>
      </c>
      <c r="C55" t="s">
        <v>122</v>
      </c>
      <c r="D55" t="s">
        <v>11</v>
      </c>
      <c r="E55" s="70">
        <f>Nd_orevalue</f>
        <v>139.92307692307693</v>
      </c>
      <c r="F55">
        <v>3</v>
      </c>
    </row>
    <row r="56" spans="1:6">
      <c r="A56" t="s">
        <v>541</v>
      </c>
      <c r="B56" t="s">
        <v>57</v>
      </c>
      <c r="C56" t="s">
        <v>123</v>
      </c>
      <c r="D56" t="s">
        <v>11</v>
      </c>
      <c r="E56" s="70">
        <f>Os_orevalue</f>
        <v>72760000</v>
      </c>
      <c r="F56">
        <v>3</v>
      </c>
    </row>
    <row r="57" spans="1:6">
      <c r="A57" t="s">
        <v>541</v>
      </c>
      <c r="B57" t="s">
        <v>58</v>
      </c>
      <c r="C57" t="s">
        <v>124</v>
      </c>
      <c r="D57" t="s">
        <v>11</v>
      </c>
      <c r="E57" s="70">
        <f>P_orevalue</f>
        <v>5.1971428571428575</v>
      </c>
      <c r="F57">
        <v>3</v>
      </c>
    </row>
    <row r="58" spans="1:6">
      <c r="A58" t="s">
        <v>541</v>
      </c>
      <c r="B58" t="s">
        <v>94</v>
      </c>
      <c r="C58" t="s">
        <v>153</v>
      </c>
      <c r="D58" t="s">
        <v>11</v>
      </c>
      <c r="E58" s="70">
        <f>Pb_orevalue</f>
        <v>392</v>
      </c>
      <c r="F58">
        <v>3</v>
      </c>
    </row>
    <row r="59" spans="1:6">
      <c r="A59" t="s">
        <v>541</v>
      </c>
      <c r="B59" t="s">
        <v>59</v>
      </c>
      <c r="C59" t="s">
        <v>125</v>
      </c>
      <c r="D59" t="s">
        <v>11</v>
      </c>
      <c r="E59" s="70">
        <f>Pd_orevalue</f>
        <v>6864150.9433962265</v>
      </c>
      <c r="F59">
        <v>3</v>
      </c>
    </row>
    <row r="60" spans="1:6">
      <c r="A60" t="s">
        <v>541</v>
      </c>
      <c r="B60" t="s">
        <v>60</v>
      </c>
      <c r="C60" t="s">
        <v>126</v>
      </c>
      <c r="D60" t="s">
        <v>11</v>
      </c>
      <c r="E60" s="70">
        <f>Pr_orevalue</f>
        <v>512.3943661971831</v>
      </c>
      <c r="F60">
        <v>3</v>
      </c>
    </row>
    <row r="61" spans="1:6">
      <c r="A61" t="s">
        <v>541</v>
      </c>
      <c r="B61" t="s">
        <v>61</v>
      </c>
      <c r="C61" t="s">
        <v>127</v>
      </c>
      <c r="D61" t="s">
        <v>11</v>
      </c>
      <c r="E61" s="70">
        <f>Pt_orevalue</f>
        <v>6063333.333333334</v>
      </c>
      <c r="F61">
        <v>3</v>
      </c>
    </row>
    <row r="62" spans="1:6">
      <c r="A62" t="s">
        <v>541</v>
      </c>
      <c r="B62" t="s">
        <v>62</v>
      </c>
      <c r="C62" t="s">
        <v>128</v>
      </c>
      <c r="D62" t="s">
        <v>11</v>
      </c>
      <c r="E62" s="70">
        <f>Rb_orevalue</f>
        <v>33.072727272727271</v>
      </c>
      <c r="F62">
        <v>3</v>
      </c>
    </row>
    <row r="63" spans="1:6">
      <c r="A63" t="s">
        <v>541</v>
      </c>
      <c r="B63" t="s">
        <v>64</v>
      </c>
      <c r="C63" t="s">
        <v>129</v>
      </c>
      <c r="D63" t="s">
        <v>11</v>
      </c>
      <c r="E63" s="70">
        <f>Re_orevalue</f>
        <v>9095000</v>
      </c>
      <c r="F63">
        <v>3</v>
      </c>
    </row>
    <row r="64" spans="1:6">
      <c r="A64" t="s">
        <v>541</v>
      </c>
      <c r="B64" t="s">
        <v>63</v>
      </c>
      <c r="C64" t="s">
        <v>130</v>
      </c>
      <c r="D64" t="s">
        <v>11</v>
      </c>
      <c r="E64" s="70">
        <f>Rh_orevalue</f>
        <v>202111111.1111111</v>
      </c>
      <c r="F64">
        <v>3</v>
      </c>
    </row>
    <row r="65" spans="1:6">
      <c r="A65" t="s">
        <v>541</v>
      </c>
      <c r="B65" t="s">
        <v>65</v>
      </c>
      <c r="C65" t="s">
        <v>131</v>
      </c>
      <c r="D65" t="s">
        <v>11</v>
      </c>
      <c r="E65" s="70">
        <f>Ru_orevalue</f>
        <v>121266666.66666666</v>
      </c>
      <c r="F65">
        <v>3</v>
      </c>
    </row>
    <row r="66" spans="1:6">
      <c r="A66" t="s">
        <v>541</v>
      </c>
      <c r="B66" t="s">
        <v>87</v>
      </c>
      <c r="C66" t="s">
        <v>23</v>
      </c>
      <c r="D66" t="s">
        <v>11</v>
      </c>
      <c r="E66" s="70">
        <f>S_orevalue</f>
        <v>0.1</v>
      </c>
      <c r="F66">
        <v>5</v>
      </c>
    </row>
    <row r="67" spans="1:6">
      <c r="A67" t="s">
        <v>541</v>
      </c>
      <c r="B67" t="s">
        <v>66</v>
      </c>
      <c r="C67" t="s">
        <v>132</v>
      </c>
      <c r="D67" t="s">
        <v>11</v>
      </c>
      <c r="E67" s="70">
        <f>Sb_orevalue</f>
        <v>18190</v>
      </c>
      <c r="F67">
        <v>3</v>
      </c>
    </row>
    <row r="68" spans="1:6">
      <c r="A68" t="s">
        <v>541</v>
      </c>
      <c r="B68" t="s">
        <v>67</v>
      </c>
      <c r="C68" t="s">
        <v>133</v>
      </c>
      <c r="D68" t="s">
        <v>11</v>
      </c>
      <c r="E68" s="70">
        <f>Sc_orevalue</f>
        <v>259.85714285714283</v>
      </c>
      <c r="F68">
        <v>3</v>
      </c>
    </row>
    <row r="69" spans="1:6">
      <c r="A69" t="s">
        <v>541</v>
      </c>
      <c r="B69" t="s">
        <v>68</v>
      </c>
      <c r="C69" t="s">
        <v>134</v>
      </c>
      <c r="D69" t="s">
        <v>11</v>
      </c>
      <c r="E69" s="70">
        <f>Se_orevalue</f>
        <v>72.760000000000005</v>
      </c>
      <c r="F69">
        <v>3</v>
      </c>
    </row>
    <row r="70" spans="1:6">
      <c r="A70" t="s">
        <v>541</v>
      </c>
      <c r="B70" t="s">
        <v>69</v>
      </c>
      <c r="C70" t="s">
        <v>135</v>
      </c>
      <c r="D70" t="s">
        <v>11</v>
      </c>
      <c r="E70" s="70">
        <f>Sm_orevalue</f>
        <v>808.44444444444446</v>
      </c>
      <c r="F70">
        <v>3</v>
      </c>
    </row>
    <row r="71" spans="1:6">
      <c r="A71" t="s">
        <v>541</v>
      </c>
      <c r="B71" t="s">
        <v>95</v>
      </c>
      <c r="C71" t="s">
        <v>154</v>
      </c>
      <c r="D71" t="s">
        <v>11</v>
      </c>
      <c r="E71" s="70">
        <f>Sn_orevalue</f>
        <v>481.81818181818181</v>
      </c>
      <c r="F71">
        <v>3</v>
      </c>
    </row>
    <row r="72" spans="1:6">
      <c r="A72" t="s">
        <v>541</v>
      </c>
      <c r="B72" t="s">
        <v>70</v>
      </c>
      <c r="C72" t="s">
        <v>136</v>
      </c>
      <c r="D72" t="s">
        <v>11</v>
      </c>
      <c r="E72" s="70">
        <f>Sr_orevalue</f>
        <v>10.394285714285715</v>
      </c>
      <c r="F72">
        <v>3</v>
      </c>
    </row>
    <row r="73" spans="1:6">
      <c r="A73" t="s">
        <v>541</v>
      </c>
      <c r="B73" t="s">
        <v>71</v>
      </c>
      <c r="C73" t="s">
        <v>137</v>
      </c>
      <c r="D73" t="s">
        <v>11</v>
      </c>
      <c r="E73" s="70">
        <f>Ta_orevalue</f>
        <v>3638</v>
      </c>
      <c r="F73">
        <v>3</v>
      </c>
    </row>
    <row r="74" spans="1:6">
      <c r="A74" t="s">
        <v>541</v>
      </c>
      <c r="B74" t="s">
        <v>72</v>
      </c>
      <c r="C74" t="s">
        <v>138</v>
      </c>
      <c r="D74" t="s">
        <v>11</v>
      </c>
      <c r="E74" s="70">
        <f>Tb_orevalue</f>
        <v>5684.375</v>
      </c>
      <c r="F74">
        <v>3</v>
      </c>
    </row>
    <row r="75" spans="1:6">
      <c r="A75" t="s">
        <v>541</v>
      </c>
      <c r="B75" t="s">
        <v>73</v>
      </c>
      <c r="C75" t="s">
        <v>139</v>
      </c>
      <c r="D75" t="s">
        <v>11</v>
      </c>
      <c r="E75" s="70">
        <f>Te_orevalue</f>
        <v>3638000</v>
      </c>
      <c r="F75">
        <v>3</v>
      </c>
    </row>
    <row r="76" spans="1:6">
      <c r="A76" t="s">
        <v>541</v>
      </c>
      <c r="B76" t="s">
        <v>74</v>
      </c>
      <c r="C76" t="s">
        <v>140</v>
      </c>
      <c r="D76" t="s">
        <v>11</v>
      </c>
      <c r="E76" s="70">
        <f>Ti_orevalue</f>
        <v>0.88731707317073172</v>
      </c>
      <c r="F76">
        <v>3</v>
      </c>
    </row>
    <row r="77" spans="1:6">
      <c r="A77" t="s">
        <v>541</v>
      </c>
      <c r="B77" t="s">
        <v>75</v>
      </c>
      <c r="C77" t="s">
        <v>141</v>
      </c>
      <c r="D77" t="s">
        <v>11</v>
      </c>
      <c r="E77" s="70">
        <f>Th_orevalue</f>
        <v>1299.2857142857144</v>
      </c>
      <c r="F77">
        <v>3</v>
      </c>
    </row>
    <row r="78" spans="1:6">
      <c r="A78" t="s">
        <v>541</v>
      </c>
      <c r="B78" s="45" t="s">
        <v>1414</v>
      </c>
      <c r="C78" t="s">
        <v>142</v>
      </c>
      <c r="D78" t="s">
        <v>11</v>
      </c>
      <c r="E78" s="70">
        <f>Tm_orevalue</f>
        <v>11024.242424242424</v>
      </c>
      <c r="F78">
        <v>3</v>
      </c>
    </row>
    <row r="79" spans="1:6">
      <c r="A79" t="s">
        <v>541</v>
      </c>
      <c r="B79" t="s">
        <v>76</v>
      </c>
      <c r="C79" t="s">
        <v>143</v>
      </c>
      <c r="D79" t="s">
        <v>11</v>
      </c>
      <c r="E79" s="70">
        <f>U_orevalue</f>
        <v>340</v>
      </c>
      <c r="F79">
        <v>3</v>
      </c>
    </row>
    <row r="80" spans="1:6">
      <c r="A80" t="s">
        <v>541</v>
      </c>
      <c r="B80" t="s">
        <v>77</v>
      </c>
      <c r="C80" t="s">
        <v>144</v>
      </c>
      <c r="D80" t="s">
        <v>11</v>
      </c>
      <c r="E80" s="70">
        <f>V_orevalue</f>
        <v>34</v>
      </c>
      <c r="F80">
        <v>3</v>
      </c>
    </row>
    <row r="81" spans="1:9">
      <c r="A81" t="s">
        <v>541</v>
      </c>
      <c r="B81" t="s">
        <v>78</v>
      </c>
      <c r="C81" t="s">
        <v>145</v>
      </c>
      <c r="D81" t="s">
        <v>11</v>
      </c>
      <c r="E81" s="70">
        <f>Y_orevalue</f>
        <v>165.36363636363637</v>
      </c>
      <c r="F81">
        <v>3</v>
      </c>
    </row>
    <row r="82" spans="1:9">
      <c r="A82" t="s">
        <v>541</v>
      </c>
      <c r="B82" t="s">
        <v>79</v>
      </c>
      <c r="C82" t="s">
        <v>146</v>
      </c>
      <c r="D82" t="s">
        <v>11</v>
      </c>
      <c r="E82" s="70">
        <f>Yb_orevalue</f>
        <v>1653.6363636363635</v>
      </c>
      <c r="F82">
        <v>3</v>
      </c>
    </row>
    <row r="83" spans="1:9">
      <c r="A83" t="s">
        <v>541</v>
      </c>
      <c r="B83" t="s">
        <v>96</v>
      </c>
      <c r="C83" t="s">
        <v>155</v>
      </c>
      <c r="D83" t="s">
        <v>11</v>
      </c>
      <c r="E83" s="70">
        <f>Zn_orevalue</f>
        <v>32.371830985915494</v>
      </c>
      <c r="F83">
        <v>2.2000000000000002</v>
      </c>
    </row>
    <row r="84" spans="1:9">
      <c r="A84" t="s">
        <v>541</v>
      </c>
      <c r="B84" t="s">
        <v>80</v>
      </c>
      <c r="C84" t="s">
        <v>147</v>
      </c>
      <c r="D84" t="s">
        <v>11</v>
      </c>
      <c r="E84" s="70">
        <f>Zr_orevalue</f>
        <v>19.147368421052633</v>
      </c>
      <c r="F84">
        <v>3</v>
      </c>
    </row>
    <row r="85" spans="1:9">
      <c r="A85" t="s">
        <v>165</v>
      </c>
      <c r="B85" t="s">
        <v>166</v>
      </c>
      <c r="C85" t="s">
        <v>174</v>
      </c>
      <c r="D85" t="s">
        <v>167</v>
      </c>
      <c r="E85" s="1">
        <v>56000000000</v>
      </c>
      <c r="F85">
        <v>3</v>
      </c>
      <c r="H85" s="1"/>
    </row>
    <row r="86" spans="1:9" ht="15">
      <c r="A86" s="58" t="s">
        <v>1445</v>
      </c>
      <c r="E86" s="1"/>
    </row>
    <row r="87" spans="1:9">
      <c r="A87" t="s">
        <v>3</v>
      </c>
      <c r="B87" s="5" t="s">
        <v>547</v>
      </c>
      <c r="C87" s="45" t="s">
        <v>4</v>
      </c>
      <c r="D87" s="5" t="s">
        <v>5</v>
      </c>
      <c r="E87">
        <v>50000</v>
      </c>
      <c r="F87">
        <v>1.5</v>
      </c>
    </row>
    <row r="88" spans="1:9">
      <c r="A88" t="s">
        <v>3</v>
      </c>
      <c r="B88" s="5" t="s">
        <v>548</v>
      </c>
      <c r="C88" s="5" t="s">
        <v>520</v>
      </c>
      <c r="D88" t="s">
        <v>5</v>
      </c>
      <c r="E88">
        <f>0.191*YOLLvalue</f>
        <v>9550</v>
      </c>
      <c r="F88">
        <v>1.1000000000000001</v>
      </c>
    </row>
    <row r="89" spans="1:9">
      <c r="A89" t="s">
        <v>3</v>
      </c>
      <c r="B89" s="5" t="s">
        <v>548</v>
      </c>
      <c r="C89" s="5" t="s">
        <v>522</v>
      </c>
      <c r="D89" t="s">
        <v>5</v>
      </c>
      <c r="E89">
        <f>0.105*YOLLvalue</f>
        <v>5250</v>
      </c>
      <c r="F89">
        <v>1.2</v>
      </c>
    </row>
    <row r="90" spans="1:9">
      <c r="A90" t="s">
        <v>3</v>
      </c>
      <c r="B90" s="5" t="s">
        <v>548</v>
      </c>
      <c r="C90" s="5" t="s">
        <v>506</v>
      </c>
      <c r="D90" t="s">
        <v>5</v>
      </c>
      <c r="E90">
        <f>YOLLvalue*0.1091</f>
        <v>5455</v>
      </c>
      <c r="F90">
        <v>1.1000000000000001</v>
      </c>
    </row>
    <row r="91" spans="1:9">
      <c r="A91" t="s">
        <v>3</v>
      </c>
      <c r="B91" s="5" t="s">
        <v>548</v>
      </c>
      <c r="C91" s="5" t="s">
        <v>534</v>
      </c>
      <c r="D91" s="5" t="s">
        <v>523</v>
      </c>
      <c r="E91">
        <f>0.5*YOLLvalue</f>
        <v>25000</v>
      </c>
      <c r="F91">
        <v>5</v>
      </c>
    </row>
    <row r="92" spans="1:9">
      <c r="A92" t="s">
        <v>3</v>
      </c>
      <c r="B92" s="5" t="s">
        <v>548</v>
      </c>
      <c r="C92" s="5" t="s">
        <v>536</v>
      </c>
      <c r="D92" s="5" t="s">
        <v>5</v>
      </c>
      <c r="E92">
        <f>0.06*YOLLvalue</f>
        <v>3000</v>
      </c>
      <c r="F92">
        <v>2</v>
      </c>
    </row>
    <row r="93" spans="1:9">
      <c r="A93" t="s">
        <v>3</v>
      </c>
      <c r="B93" s="5" t="s">
        <v>548</v>
      </c>
      <c r="C93" s="5" t="s">
        <v>546</v>
      </c>
      <c r="D93" s="5" t="s">
        <v>5</v>
      </c>
      <c r="E93">
        <f>0.1*YOLLvalue</f>
        <v>5000</v>
      </c>
      <c r="F93">
        <v>3</v>
      </c>
    </row>
    <row r="94" spans="1:9">
      <c r="A94" t="s">
        <v>3</v>
      </c>
      <c r="B94" s="5" t="s">
        <v>548</v>
      </c>
      <c r="C94" s="45" t="s">
        <v>1477</v>
      </c>
      <c r="D94" s="5" t="s">
        <v>5</v>
      </c>
      <c r="E94">
        <f>(0.422*2+0.056*28)/30*YOLLvalue</f>
        <v>4020</v>
      </c>
      <c r="F94">
        <v>1.3</v>
      </c>
    </row>
    <row r="95" spans="1:9" ht="12" customHeight="1">
      <c r="A95" t="s">
        <v>3</v>
      </c>
      <c r="B95" s="5" t="s">
        <v>548</v>
      </c>
      <c r="C95" s="5" t="s">
        <v>527</v>
      </c>
      <c r="D95" t="s">
        <v>5</v>
      </c>
      <c r="E95">
        <v>58800</v>
      </c>
      <c r="F95">
        <v>1.6</v>
      </c>
      <c r="I95" s="1"/>
    </row>
    <row r="96" spans="1:9" ht="12" customHeight="1">
      <c r="A96" t="s">
        <v>3</v>
      </c>
      <c r="B96" s="5" t="s">
        <v>548</v>
      </c>
      <c r="C96" s="5" t="s">
        <v>557</v>
      </c>
      <c r="D96" t="s">
        <v>5</v>
      </c>
      <c r="E96">
        <f>0.043*YOLLvalue</f>
        <v>2150</v>
      </c>
      <c r="F96">
        <v>2</v>
      </c>
    </row>
    <row r="97" spans="1:11" ht="12" customHeight="1">
      <c r="A97" t="s">
        <v>3</v>
      </c>
      <c r="B97" s="5" t="s">
        <v>548</v>
      </c>
      <c r="C97" s="5" t="s">
        <v>658</v>
      </c>
      <c r="D97" t="s">
        <v>5</v>
      </c>
      <c r="E97">
        <f>0.383*YOLLvalue</f>
        <v>19150</v>
      </c>
      <c r="F97">
        <v>2</v>
      </c>
    </row>
    <row r="98" spans="1:11" ht="12" customHeight="1">
      <c r="A98" t="s">
        <v>3</v>
      </c>
      <c r="B98" s="5" t="s">
        <v>548</v>
      </c>
      <c r="C98" s="5" t="s">
        <v>253</v>
      </c>
      <c r="D98" s="5" t="s">
        <v>5</v>
      </c>
      <c r="E98">
        <f>0.2*YOLLvalue</f>
        <v>10000</v>
      </c>
      <c r="F98">
        <v>2</v>
      </c>
      <c r="J98" s="45"/>
    </row>
    <row r="99" spans="1:11" ht="12" customHeight="1">
      <c r="A99" t="s">
        <v>3</v>
      </c>
      <c r="B99" s="5" t="s">
        <v>548</v>
      </c>
      <c r="C99" s="45" t="s">
        <v>1013</v>
      </c>
      <c r="D99" s="5" t="s">
        <v>5</v>
      </c>
      <c r="E99">
        <f>0.05*YOLLvalue</f>
        <v>2500</v>
      </c>
      <c r="F99">
        <v>1.3</v>
      </c>
      <c r="I99" s="45"/>
      <c r="K99" s="45"/>
    </row>
    <row r="100" spans="1:11" ht="12" customHeight="1">
      <c r="A100" t="s">
        <v>3</v>
      </c>
      <c r="B100" s="5" t="s">
        <v>548</v>
      </c>
      <c r="C100" s="45" t="s">
        <v>994</v>
      </c>
      <c r="D100" s="5" t="s">
        <v>5</v>
      </c>
      <c r="E100">
        <f>YOLLvalue*0.17</f>
        <v>8500</v>
      </c>
      <c r="F100">
        <v>2</v>
      </c>
    </row>
    <row r="101" spans="1:11" ht="12" customHeight="1">
      <c r="A101" t="s">
        <v>3</v>
      </c>
      <c r="B101" s="5" t="s">
        <v>548</v>
      </c>
      <c r="C101" s="45" t="s">
        <v>1012</v>
      </c>
      <c r="D101" s="5" t="s">
        <v>5</v>
      </c>
      <c r="E101">
        <f>0.6*YOLLvalue</f>
        <v>30000</v>
      </c>
      <c r="F101">
        <v>2</v>
      </c>
      <c r="J101" s="45"/>
    </row>
    <row r="102" spans="1:11" ht="12" customHeight="1">
      <c r="A102" t="s">
        <v>3</v>
      </c>
      <c r="B102" s="5" t="s">
        <v>548</v>
      </c>
      <c r="C102" s="45" t="s">
        <v>1407</v>
      </c>
      <c r="D102" s="5" t="s">
        <v>5</v>
      </c>
      <c r="E102">
        <f>0.031*YOLLvalue</f>
        <v>1550</v>
      </c>
      <c r="F102">
        <v>4</v>
      </c>
      <c r="J102" s="45"/>
    </row>
    <row r="103" spans="1:11" ht="12" customHeight="1">
      <c r="A103" t="s">
        <v>3</v>
      </c>
      <c r="B103" s="45" t="s">
        <v>548</v>
      </c>
      <c r="C103" s="45" t="s">
        <v>1540</v>
      </c>
      <c r="D103" s="45" t="s">
        <v>1558</v>
      </c>
      <c r="E103">
        <f>1.28*YOLLvalue</f>
        <v>64000</v>
      </c>
      <c r="F103">
        <v>2</v>
      </c>
      <c r="J103" s="45"/>
    </row>
    <row r="104" spans="1:11" ht="12" customHeight="1">
      <c r="A104" t="s">
        <v>3</v>
      </c>
      <c r="B104" s="45" t="s">
        <v>548</v>
      </c>
      <c r="C104" s="45" t="s">
        <v>1542</v>
      </c>
      <c r="D104" s="45" t="s">
        <v>1558</v>
      </c>
      <c r="E104">
        <f>0.64*YOLLvalue</f>
        <v>32000</v>
      </c>
      <c r="F104">
        <v>2</v>
      </c>
      <c r="J104" s="45"/>
    </row>
    <row r="105" spans="1:11" ht="15">
      <c r="A105" s="59" t="s">
        <v>1447</v>
      </c>
      <c r="B105" s="207" t="s">
        <v>1484</v>
      </c>
      <c r="C105" s="207"/>
      <c r="E105" s="1"/>
      <c r="I105" s="45"/>
    </row>
    <row r="106" spans="1:11">
      <c r="A106" s="45" t="s">
        <v>1434</v>
      </c>
      <c r="B106" s="45" t="s">
        <v>1435</v>
      </c>
      <c r="C106" s="45" t="s">
        <v>553</v>
      </c>
      <c r="D106" s="45" t="s">
        <v>1483</v>
      </c>
      <c r="E106">
        <v>2000</v>
      </c>
      <c r="F106">
        <v>2</v>
      </c>
    </row>
    <row r="107" spans="1:11">
      <c r="A107" s="45" t="s">
        <v>1434</v>
      </c>
      <c r="B107" s="45" t="s">
        <v>1436</v>
      </c>
      <c r="C107" s="45" t="s">
        <v>1489</v>
      </c>
      <c r="D107" s="45" t="s">
        <v>1495</v>
      </c>
      <c r="E107">
        <v>100</v>
      </c>
      <c r="F107">
        <v>2</v>
      </c>
    </row>
    <row r="108" spans="1:11">
      <c r="A108" s="45" t="s">
        <v>1437</v>
      </c>
      <c r="B108" s="45" t="s">
        <v>1435</v>
      </c>
      <c r="C108" t="s">
        <v>1488</v>
      </c>
      <c r="D108" s="45" t="s">
        <v>554</v>
      </c>
      <c r="E108">
        <v>2800</v>
      </c>
      <c r="F108">
        <v>3</v>
      </c>
    </row>
    <row r="109" spans="1:11">
      <c r="A109" s="45" t="s">
        <v>1437</v>
      </c>
      <c r="B109" s="45" t="s">
        <v>1436</v>
      </c>
      <c r="C109" s="45" t="s">
        <v>1490</v>
      </c>
      <c r="D109" s="45" t="s">
        <v>1506</v>
      </c>
      <c r="E109">
        <v>0.5</v>
      </c>
      <c r="F109">
        <v>1.5</v>
      </c>
    </row>
    <row r="110" spans="1:11">
      <c r="A110" s="45" t="s">
        <v>1439</v>
      </c>
      <c r="B110" s="45" t="s">
        <v>1435</v>
      </c>
      <c r="C110" s="45" t="s">
        <v>1440</v>
      </c>
      <c r="D110" s="45" t="s">
        <v>1502</v>
      </c>
      <c r="E110">
        <v>15000</v>
      </c>
      <c r="F110">
        <v>1.4</v>
      </c>
    </row>
    <row r="111" spans="1:11">
      <c r="A111" s="45" t="s">
        <v>1439</v>
      </c>
      <c r="B111" s="45" t="s">
        <v>1436</v>
      </c>
      <c r="C111" s="45" t="s">
        <v>1491</v>
      </c>
      <c r="D111" s="45" t="s">
        <v>1496</v>
      </c>
      <c r="E111">
        <v>2</v>
      </c>
      <c r="F111">
        <v>1.5</v>
      </c>
    </row>
    <row r="112" spans="1:11">
      <c r="A112" s="45" t="s">
        <v>1441</v>
      </c>
      <c r="B112" s="45" t="s">
        <v>1435</v>
      </c>
      <c r="C112" t="s">
        <v>550</v>
      </c>
      <c r="D112" s="45" t="s">
        <v>1503</v>
      </c>
      <c r="E112" s="41">
        <f xml:space="preserve"> 200/(2.2*30)*12*20</f>
        <v>727.27272727272725</v>
      </c>
      <c r="F112">
        <v>1.5</v>
      </c>
    </row>
    <row r="113" spans="1:10">
      <c r="A113" s="45" t="s">
        <v>1441</v>
      </c>
      <c r="B113" s="45" t="s">
        <v>1436</v>
      </c>
      <c r="C113" s="45" t="s">
        <v>1505</v>
      </c>
      <c r="D113" s="45" t="s">
        <v>1504</v>
      </c>
      <c r="E113">
        <v>3.03</v>
      </c>
      <c r="F113">
        <v>1.5</v>
      </c>
    </row>
    <row r="114" spans="1:10">
      <c r="A114" s="45" t="s">
        <v>1442</v>
      </c>
      <c r="B114" s="45" t="s">
        <v>1435</v>
      </c>
      <c r="C114" s="45" t="s">
        <v>550</v>
      </c>
      <c r="D114" s="45" t="s">
        <v>1509</v>
      </c>
      <c r="E114">
        <v>1000</v>
      </c>
      <c r="F114">
        <v>2</v>
      </c>
    </row>
    <row r="115" spans="1:10">
      <c r="A115" s="45" t="s">
        <v>1442</v>
      </c>
      <c r="B115" s="45" t="s">
        <v>1436</v>
      </c>
      <c r="C115" s="45" t="s">
        <v>1508</v>
      </c>
      <c r="D115" s="45" t="s">
        <v>1507</v>
      </c>
      <c r="E115">
        <v>50</v>
      </c>
      <c r="F115">
        <v>2</v>
      </c>
    </row>
    <row r="116" spans="1:10">
      <c r="A116" s="45" t="s">
        <v>1443</v>
      </c>
      <c r="B116" s="45" t="s">
        <v>1435</v>
      </c>
      <c r="C116" s="45" t="s">
        <v>1485</v>
      </c>
      <c r="D116" s="45" t="s">
        <v>1510</v>
      </c>
      <c r="E116">
        <v>5</v>
      </c>
      <c r="F116">
        <v>2</v>
      </c>
    </row>
    <row r="117" spans="1:10">
      <c r="A117" s="45" t="s">
        <v>1443</v>
      </c>
      <c r="B117" s="45" t="s">
        <v>1436</v>
      </c>
      <c r="C117" s="45" t="s">
        <v>1492</v>
      </c>
      <c r="D117" s="45" t="s">
        <v>1511</v>
      </c>
      <c r="E117">
        <v>0.04</v>
      </c>
      <c r="F117">
        <v>2</v>
      </c>
    </row>
    <row r="118" spans="1:10">
      <c r="A118" s="45" t="s">
        <v>1438</v>
      </c>
      <c r="B118" s="45" t="s">
        <v>1435</v>
      </c>
      <c r="C118" t="s">
        <v>551</v>
      </c>
      <c r="D118" s="45" t="s">
        <v>1512</v>
      </c>
      <c r="E118">
        <v>625</v>
      </c>
      <c r="F118">
        <v>1.4</v>
      </c>
      <c r="J118" s="45"/>
    </row>
    <row r="119" spans="1:10">
      <c r="A119" s="45" t="s">
        <v>1438</v>
      </c>
      <c r="B119" s="45" t="s">
        <v>1436</v>
      </c>
      <c r="C119" s="45" t="s">
        <v>1493</v>
      </c>
      <c r="D119" s="45" t="s">
        <v>1497</v>
      </c>
      <c r="E119">
        <v>0.04</v>
      </c>
      <c r="F119">
        <v>1.4</v>
      </c>
      <c r="J119" s="45"/>
    </row>
    <row r="120" spans="1:10">
      <c r="A120" s="45" t="s">
        <v>1438</v>
      </c>
      <c r="B120" s="45" t="s">
        <v>1435</v>
      </c>
      <c r="C120" t="s">
        <v>552</v>
      </c>
      <c r="D120" s="45" t="s">
        <v>1514</v>
      </c>
      <c r="E120">
        <v>300</v>
      </c>
      <c r="F120">
        <v>1.4</v>
      </c>
      <c r="J120" s="45"/>
    </row>
    <row r="121" spans="1:10">
      <c r="A121" s="45" t="s">
        <v>1438</v>
      </c>
      <c r="B121" s="45" t="s">
        <v>1436</v>
      </c>
      <c r="C121" s="45" t="s">
        <v>1494</v>
      </c>
      <c r="D121" s="45" t="s">
        <v>1513</v>
      </c>
      <c r="E121">
        <f>0.1</f>
        <v>0.1</v>
      </c>
      <c r="F121">
        <v>1.4</v>
      </c>
      <c r="J121" s="45"/>
    </row>
    <row r="122" spans="1:10">
      <c r="A122" s="45" t="s">
        <v>1448</v>
      </c>
      <c r="B122" s="45" t="s">
        <v>1451</v>
      </c>
      <c r="C122" s="45" t="s">
        <v>1449</v>
      </c>
      <c r="D122" s="45" t="s">
        <v>1450</v>
      </c>
      <c r="E122">
        <v>1</v>
      </c>
      <c r="F122">
        <v>1</v>
      </c>
    </row>
    <row r="123" spans="1:10" ht="15">
      <c r="A123" s="58" t="s">
        <v>1445</v>
      </c>
      <c r="B123" s="207" t="s">
        <v>1466</v>
      </c>
      <c r="C123" s="207"/>
    </row>
    <row r="124" spans="1:10">
      <c r="A124" s="45" t="s">
        <v>1457</v>
      </c>
      <c r="C124" s="53" t="s">
        <v>1458</v>
      </c>
      <c r="D124" s="45" t="s">
        <v>1465</v>
      </c>
    </row>
    <row r="125" spans="1:10">
      <c r="A125" s="45" t="s">
        <v>1457</v>
      </c>
      <c r="C125" s="45" t="s">
        <v>1456</v>
      </c>
      <c r="D125" s="45" t="s">
        <v>1464</v>
      </c>
    </row>
    <row r="126" spans="1:10">
      <c r="A126" s="45" t="s">
        <v>1452</v>
      </c>
      <c r="C126" s="45" t="s">
        <v>1459</v>
      </c>
      <c r="D126" s="45" t="s">
        <v>1464</v>
      </c>
    </row>
    <row r="127" spans="1:10">
      <c r="A127" s="45" t="s">
        <v>1474</v>
      </c>
      <c r="C127" s="45" t="s">
        <v>1460</v>
      </c>
      <c r="D127" s="45" t="s">
        <v>1465</v>
      </c>
    </row>
    <row r="128" spans="1:10">
      <c r="A128" s="45" t="s">
        <v>1462</v>
      </c>
      <c r="C128" s="45" t="s">
        <v>1461</v>
      </c>
      <c r="D128" s="45" t="s">
        <v>5</v>
      </c>
    </row>
    <row r="129" spans="1:4">
      <c r="A129" s="45" t="s">
        <v>1453</v>
      </c>
      <c r="C129" s="45" t="s">
        <v>1463</v>
      </c>
      <c r="D129" s="45" t="s">
        <v>5</v>
      </c>
    </row>
    <row r="130" spans="1:4">
      <c r="A130" s="45" t="s">
        <v>1454</v>
      </c>
      <c r="C130" s="45" t="s">
        <v>1470</v>
      </c>
      <c r="D130" s="45" t="s">
        <v>1471</v>
      </c>
    </row>
    <row r="131" spans="1:4">
      <c r="A131" s="45" t="s">
        <v>1455</v>
      </c>
      <c r="C131" s="45" t="s">
        <v>1468</v>
      </c>
      <c r="D131" s="45" t="s">
        <v>1471</v>
      </c>
    </row>
    <row r="132" spans="1:4">
      <c r="A132" s="45" t="s">
        <v>1473</v>
      </c>
      <c r="C132" s="45" t="s">
        <v>1469</v>
      </c>
      <c r="D132" s="45" t="s">
        <v>1472</v>
      </c>
    </row>
  </sheetData>
  <mergeCells count="3">
    <mergeCell ref="B2:C2"/>
    <mergeCell ref="B105:C105"/>
    <mergeCell ref="B123:C123"/>
  </mergeCells>
  <phoneticPr fontId="0" type="noConversion"/>
  <pageMargins left="0.75" right="0.75" top="1" bottom="1" header="0.5" footer="0.5"/>
  <pageSetup paperSize="9" orientation="portrait"/>
  <headerFooter alignWithMargins="0"/>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79"/>
  <sheetViews>
    <sheetView topLeftCell="A41" workbookViewId="0">
      <selection activeCell="J14" sqref="J14"/>
    </sheetView>
  </sheetViews>
  <sheetFormatPr defaultColWidth="8.85546875" defaultRowHeight="11.25"/>
  <cols>
    <col min="1" max="1" width="18.42578125" style="92" customWidth="1"/>
    <col min="2" max="2" width="11.42578125" style="92" customWidth="1"/>
    <col min="3" max="3" width="13.28515625" style="92" bestFit="1" customWidth="1"/>
    <col min="4" max="4" width="14.42578125" style="92" customWidth="1"/>
    <col min="5" max="5" width="16.28515625" style="92" customWidth="1"/>
    <col min="6" max="6" width="10" style="92" customWidth="1"/>
    <col min="7" max="7" width="14.85546875" style="92" bestFit="1" customWidth="1"/>
    <col min="8" max="16384" width="8.85546875" style="92"/>
  </cols>
  <sheetData>
    <row r="1" spans="1:9" ht="17.25" thickTop="1" thickBot="1">
      <c r="A1" s="120" t="s">
        <v>12</v>
      </c>
      <c r="B1" s="116"/>
      <c r="C1" s="116"/>
      <c r="D1" s="116"/>
      <c r="E1" s="116"/>
      <c r="F1" s="116"/>
      <c r="G1" s="116"/>
      <c r="H1" s="116"/>
      <c r="I1" s="93"/>
    </row>
    <row r="2" spans="1:9" ht="12" thickTop="1">
      <c r="A2" s="94"/>
      <c r="B2" s="96"/>
      <c r="C2" s="96"/>
      <c r="D2" s="96"/>
      <c r="E2" s="96"/>
      <c r="F2" s="110"/>
      <c r="G2" s="96"/>
      <c r="H2" s="116"/>
    </row>
    <row r="3" spans="1:9">
      <c r="A3" s="95"/>
      <c r="B3" s="96"/>
      <c r="C3" s="96"/>
      <c r="D3" s="96"/>
      <c r="E3" s="96"/>
    </row>
    <row r="4" spans="1:9">
      <c r="A4" s="97"/>
      <c r="B4" s="98"/>
      <c r="C4" s="99"/>
      <c r="D4" s="100"/>
      <c r="E4" s="100"/>
    </row>
    <row r="5" spans="1:9">
      <c r="A5" s="97"/>
      <c r="B5" s="98"/>
      <c r="C5" s="99"/>
      <c r="D5" s="100"/>
      <c r="E5" s="100"/>
    </row>
    <row r="6" spans="1:9">
      <c r="A6" s="97"/>
      <c r="B6" s="98"/>
      <c r="C6" s="99"/>
      <c r="D6" s="100"/>
      <c r="E6" s="100"/>
    </row>
    <row r="7" spans="1:9">
      <c r="A7" s="97"/>
      <c r="B7" s="98"/>
      <c r="C7" s="99"/>
      <c r="D7" s="100"/>
      <c r="E7" s="100"/>
    </row>
    <row r="8" spans="1:9">
      <c r="A8" s="97"/>
      <c r="B8" s="98"/>
      <c r="C8" s="101"/>
      <c r="D8" s="100"/>
      <c r="E8" s="100"/>
    </row>
    <row r="9" spans="1:9">
      <c r="A9" s="97"/>
      <c r="B9" s="98"/>
      <c r="C9" s="99"/>
      <c r="D9" s="100"/>
      <c r="E9" s="100"/>
    </row>
    <row r="10" spans="1:9">
      <c r="A10" s="97"/>
      <c r="B10" s="98"/>
      <c r="C10" s="102"/>
      <c r="D10" s="100"/>
      <c r="E10" s="100"/>
    </row>
    <row r="11" spans="1:9">
      <c r="A11" s="97"/>
      <c r="B11" s="98"/>
      <c r="C11" s="102"/>
      <c r="D11" s="100"/>
      <c r="E11" s="100"/>
    </row>
    <row r="12" spans="1:9">
      <c r="A12" s="103"/>
      <c r="B12" s="98"/>
      <c r="C12" s="99"/>
      <c r="D12" s="100"/>
      <c r="E12" s="100"/>
    </row>
    <row r="13" spans="1:9">
      <c r="A13" s="97"/>
      <c r="B13" s="98"/>
      <c r="C13" s="99"/>
      <c r="D13" s="100"/>
      <c r="E13" s="100"/>
    </row>
    <row r="14" spans="1:9" ht="12" thickBot="1">
      <c r="A14" s="97"/>
      <c r="B14" s="98"/>
      <c r="C14" s="99"/>
      <c r="E14" s="100"/>
    </row>
    <row r="15" spans="1:9" ht="12.75" thickTop="1" thickBot="1">
      <c r="D15" s="104" t="s">
        <v>1533</v>
      </c>
      <c r="E15" s="105">
        <v>0.47</v>
      </c>
    </row>
    <row r="16" spans="1:9" ht="12" thickTop="1"/>
    <row r="21" spans="1:10" ht="12" thickBot="1"/>
    <row r="22" spans="1:10" ht="17.25" thickTop="1" thickBot="1">
      <c r="A22" s="120" t="s">
        <v>13</v>
      </c>
      <c r="D22" s="92" t="s">
        <v>483</v>
      </c>
      <c r="F22" s="92" t="s">
        <v>1501</v>
      </c>
    </row>
    <row r="23" spans="1:10" ht="24" thickTop="1" thickBot="1">
      <c r="A23" s="106" t="s">
        <v>647</v>
      </c>
      <c r="B23" s="107" t="s">
        <v>481</v>
      </c>
      <c r="C23" s="107" t="s">
        <v>482</v>
      </c>
      <c r="D23" s="107" t="s">
        <v>479</v>
      </c>
      <c r="E23" s="107" t="s">
        <v>480</v>
      </c>
      <c r="F23" s="107" t="s">
        <v>479</v>
      </c>
      <c r="G23" s="108" t="s">
        <v>480</v>
      </c>
    </row>
    <row r="24" spans="1:10" ht="12" thickTop="1">
      <c r="A24" s="109" t="s">
        <v>654</v>
      </c>
      <c r="B24" s="96"/>
      <c r="C24" s="96"/>
      <c r="D24" s="96"/>
      <c r="E24" s="96"/>
      <c r="F24" s="96"/>
      <c r="G24" s="96"/>
      <c r="I24" s="92" t="s">
        <v>1516</v>
      </c>
    </row>
    <row r="25" spans="1:10">
      <c r="A25" s="97" t="s">
        <v>462</v>
      </c>
      <c r="B25" s="98" t="s">
        <v>7</v>
      </c>
      <c r="C25" s="122">
        <f>Pb_orevalue</f>
        <v>392</v>
      </c>
      <c r="D25" s="122">
        <v>2.3199999999999998E-6</v>
      </c>
      <c r="E25" s="122">
        <f>C25*D25</f>
        <v>9.0943999999999997E-4</v>
      </c>
      <c r="F25" s="123">
        <f>D25*0.1</f>
        <v>2.3199999999999999E-7</v>
      </c>
      <c r="G25" s="123">
        <f>F25*C25</f>
        <v>9.0943999999999988E-5</v>
      </c>
      <c r="J25" s="111"/>
    </row>
    <row r="26" spans="1:10">
      <c r="A26" s="97" t="s">
        <v>463</v>
      </c>
      <c r="B26" s="98" t="s">
        <v>7</v>
      </c>
      <c r="C26" s="122">
        <f>Cr_orevalue</f>
        <v>59.457831325301207</v>
      </c>
      <c r="D26" s="122">
        <v>3.5499999999999999E-6</v>
      </c>
      <c r="E26" s="122">
        <f>C26*D26</f>
        <v>2.1107530120481927E-4</v>
      </c>
      <c r="F26" s="123">
        <f>D26*0.1</f>
        <v>3.5499999999999999E-7</v>
      </c>
      <c r="G26" s="123">
        <f t="shared" ref="G26:G40" si="0">F26*C26</f>
        <v>2.1107530120481929E-5</v>
      </c>
    </row>
    <row r="27" spans="1:10">
      <c r="A27" s="97" t="s">
        <v>464</v>
      </c>
      <c r="B27" s="98" t="s">
        <v>7</v>
      </c>
      <c r="C27" s="122">
        <f>Fe_orevalue</f>
        <v>0.81003952519780287</v>
      </c>
      <c r="D27" s="122">
        <v>7.4899999999999999E-4</v>
      </c>
      <c r="E27" s="122">
        <f t="shared" ref="E27:E43" si="1">C27*D27</f>
        <v>6.0671960437315431E-4</v>
      </c>
      <c r="F27" s="123">
        <f>D27*0.1</f>
        <v>7.4900000000000005E-5</v>
      </c>
      <c r="G27" s="123">
        <f t="shared" si="0"/>
        <v>6.0671960437315442E-5</v>
      </c>
    </row>
    <row r="28" spans="1:10">
      <c r="A28" s="97" t="s">
        <v>1553</v>
      </c>
      <c r="B28" s="98" t="s">
        <v>1554</v>
      </c>
      <c r="C28" s="122">
        <v>0.63984119852362098</v>
      </c>
      <c r="D28" s="122">
        <v>5.6499999999999999E-7</v>
      </c>
      <c r="E28" s="122">
        <f t="shared" si="1"/>
        <v>3.6151027716584583E-7</v>
      </c>
      <c r="F28" s="123">
        <v>5.6499999999999999E-7</v>
      </c>
      <c r="G28" s="123">
        <f t="shared" si="0"/>
        <v>3.6151027716584583E-7</v>
      </c>
    </row>
    <row r="29" spans="1:10">
      <c r="A29" s="97" t="s">
        <v>465</v>
      </c>
      <c r="B29" s="98" t="s">
        <v>7</v>
      </c>
      <c r="C29" s="122">
        <f>Cu_orevalue</f>
        <v>90.948000000000008</v>
      </c>
      <c r="D29" s="122">
        <v>3.29E-5</v>
      </c>
      <c r="E29" s="122">
        <f t="shared" si="1"/>
        <v>2.9921892000000002E-3</v>
      </c>
      <c r="F29" s="123">
        <f>D29*0.1</f>
        <v>3.2900000000000003E-6</v>
      </c>
      <c r="G29" s="123">
        <f t="shared" si="0"/>
        <v>2.9921892000000003E-4</v>
      </c>
    </row>
    <row r="30" spans="1:10">
      <c r="A30" s="97" t="s">
        <v>466</v>
      </c>
      <c r="B30" s="98" t="s">
        <v>7</v>
      </c>
      <c r="C30" s="122">
        <f>Ni_orevalue</f>
        <v>107.37272727272727</v>
      </c>
      <c r="D30" s="122">
        <v>1.7999999999999999E-6</v>
      </c>
      <c r="E30" s="122">
        <f t="shared" si="1"/>
        <v>1.9327090909090908E-4</v>
      </c>
      <c r="F30" s="123">
        <f>D30*0.1</f>
        <v>1.8E-7</v>
      </c>
      <c r="G30" s="123">
        <f t="shared" si="0"/>
        <v>1.932709090909091E-5</v>
      </c>
    </row>
    <row r="31" spans="1:10">
      <c r="A31" s="97" t="s">
        <v>467</v>
      </c>
      <c r="B31" s="98" t="s">
        <v>7</v>
      </c>
      <c r="C31" s="122">
        <f>Ag_orevalue</f>
        <v>72760</v>
      </c>
      <c r="D31" s="122">
        <v>3.8999999999999998E-8</v>
      </c>
      <c r="E31" s="122">
        <f t="shared" si="1"/>
        <v>2.8376399999999998E-3</v>
      </c>
      <c r="F31" s="123">
        <f>D31*0.1</f>
        <v>3.9000000000000002E-9</v>
      </c>
      <c r="G31" s="123">
        <f t="shared" si="0"/>
        <v>2.8376399999999999E-4</v>
      </c>
    </row>
    <row r="32" spans="1:10">
      <c r="A32" s="97" t="s">
        <v>468</v>
      </c>
      <c r="B32" s="98" t="s">
        <v>7</v>
      </c>
      <c r="C32" s="122">
        <f>Zn_orevalue</f>
        <v>32.371830985915494</v>
      </c>
      <c r="D32" s="122">
        <v>2.0899999999999999E-8</v>
      </c>
      <c r="E32" s="122">
        <f t="shared" si="1"/>
        <v>6.7657126760563382E-7</v>
      </c>
      <c r="F32" s="123">
        <f>D32*0.1</f>
        <v>2.09E-9</v>
      </c>
      <c r="G32" s="123">
        <f t="shared" si="0"/>
        <v>6.7657126760563379E-8</v>
      </c>
    </row>
    <row r="33" spans="1:11">
      <c r="A33" s="97" t="s">
        <v>469</v>
      </c>
      <c r="B33" s="98" t="s">
        <v>7</v>
      </c>
      <c r="C33" s="122">
        <f>Sn_orevalue</f>
        <v>481.81818181818181</v>
      </c>
      <c r="D33" s="122">
        <v>2.1699999999999999E-8</v>
      </c>
      <c r="E33" s="122">
        <f t="shared" si="1"/>
        <v>1.0455454545454545E-5</v>
      </c>
      <c r="F33" s="123">
        <f>D33*0.1</f>
        <v>2.1700000000000002E-9</v>
      </c>
      <c r="G33" s="123">
        <f t="shared" si="0"/>
        <v>1.0455454545454546E-6</v>
      </c>
    </row>
    <row r="34" spans="1:11" ht="15.75" customHeight="1">
      <c r="A34" s="97" t="s">
        <v>470</v>
      </c>
      <c r="B34" s="98" t="s">
        <v>471</v>
      </c>
      <c r="C34" s="122">
        <f>naturalgasvalue/22.4*16</f>
        <v>0.19778104316685269</v>
      </c>
      <c r="D34" s="122">
        <v>7.3299999999999997E-3</v>
      </c>
      <c r="E34" s="122">
        <f t="shared" si="1"/>
        <v>1.4497350464130301E-3</v>
      </c>
      <c r="F34" s="123"/>
      <c r="G34" s="123"/>
    </row>
    <row r="35" spans="1:11">
      <c r="A35" s="97" t="s">
        <v>473</v>
      </c>
      <c r="B35" s="98" t="s">
        <v>7</v>
      </c>
      <c r="C35" s="122">
        <f>lignitevalue</f>
        <v>9.7772069189248176E-2</v>
      </c>
      <c r="D35" s="122">
        <v>4.3299999999999998E-2</v>
      </c>
      <c r="E35" s="122">
        <f t="shared" si="1"/>
        <v>4.2335305958944459E-3</v>
      </c>
      <c r="F35" s="123"/>
      <c r="G35" s="123"/>
    </row>
    <row r="36" spans="1:11">
      <c r="A36" s="97" t="s">
        <v>474</v>
      </c>
      <c r="B36" s="98" t="s">
        <v>7</v>
      </c>
      <c r="C36" s="122">
        <v>9.2999999999999999E-2</v>
      </c>
      <c r="D36" s="122">
        <v>3.32E-2</v>
      </c>
      <c r="E36" s="122">
        <f t="shared" si="1"/>
        <v>3.0875999999999998E-3</v>
      </c>
      <c r="F36" s="123"/>
      <c r="G36" s="123"/>
    </row>
    <row r="37" spans="1:11">
      <c r="A37" s="97" t="s">
        <v>475</v>
      </c>
      <c r="B37" s="98" t="s">
        <v>7</v>
      </c>
      <c r="C37" s="122">
        <f>methanevalue</f>
        <v>3.8203507688338036</v>
      </c>
      <c r="D37" s="122">
        <v>3.21E-4</v>
      </c>
      <c r="E37" s="122">
        <f t="shared" si="1"/>
        <v>1.226332596795651E-3</v>
      </c>
      <c r="F37" s="123">
        <v>3.2100000000000001E-5</v>
      </c>
      <c r="G37" s="123">
        <f t="shared" si="0"/>
        <v>1.226332596795651E-4</v>
      </c>
    </row>
    <row r="38" spans="1:11">
      <c r="A38" s="97" t="s">
        <v>476</v>
      </c>
      <c r="B38" s="98" t="s">
        <v>7</v>
      </c>
      <c r="C38" s="122">
        <f>CO2value</f>
        <v>0.13478038028616854</v>
      </c>
      <c r="D38" s="122">
        <v>0.14699999999999999</v>
      </c>
      <c r="E38" s="122">
        <f t="shared" si="1"/>
        <v>1.9812715902066774E-2</v>
      </c>
      <c r="F38" s="123"/>
      <c r="G38" s="123"/>
    </row>
    <row r="39" spans="1:11">
      <c r="A39" s="97" t="s">
        <v>477</v>
      </c>
      <c r="B39" s="98" t="s">
        <v>7</v>
      </c>
      <c r="C39" s="122">
        <f>NMVOCvalue</f>
        <v>17.408381273323123</v>
      </c>
      <c r="D39" s="122">
        <v>2.32E-4</v>
      </c>
      <c r="E39" s="122">
        <f t="shared" si="1"/>
        <v>4.0387444554109645E-3</v>
      </c>
      <c r="F39" s="123">
        <v>2.3200000000000001E-5</v>
      </c>
      <c r="G39" s="123">
        <f t="shared" si="0"/>
        <v>4.0387444554109645E-4</v>
      </c>
      <c r="J39" s="111"/>
    </row>
    <row r="40" spans="1:11">
      <c r="A40" s="97" t="s">
        <v>478</v>
      </c>
      <c r="B40" s="98" t="s">
        <v>7</v>
      </c>
      <c r="C40" s="122">
        <f>'9. Particles'!L122</f>
        <v>0</v>
      </c>
      <c r="D40" s="122">
        <v>1.1400000000000001E-6</v>
      </c>
      <c r="E40" s="122">
        <f t="shared" si="1"/>
        <v>0</v>
      </c>
      <c r="F40" s="123">
        <v>1.14E-7</v>
      </c>
      <c r="G40" s="123">
        <f t="shared" si="0"/>
        <v>0</v>
      </c>
    </row>
    <row r="41" spans="1:11">
      <c r="A41" s="103" t="s">
        <v>655</v>
      </c>
      <c r="B41" s="98"/>
      <c r="C41" s="122"/>
      <c r="D41" s="122"/>
      <c r="E41" s="122"/>
      <c r="F41" s="123"/>
      <c r="G41" s="123"/>
    </row>
    <row r="42" spans="1:11">
      <c r="A42" s="97" t="s">
        <v>472</v>
      </c>
      <c r="B42" s="98" t="s">
        <v>7</v>
      </c>
      <c r="C42" s="122">
        <v>5.7000000000000002E-2</v>
      </c>
      <c r="D42" s="122">
        <f>1/0.45*0.59</f>
        <v>1.3111111111111111</v>
      </c>
      <c r="E42" s="122">
        <v>5.7000000000000002E-2</v>
      </c>
      <c r="F42" s="122">
        <f>1/0.45*0.59</f>
        <v>1.3111111111111111</v>
      </c>
      <c r="G42" s="123">
        <f>F42*C42</f>
        <v>7.4733333333333332E-2</v>
      </c>
    </row>
    <row r="43" spans="1:11" ht="23.25" thickBot="1">
      <c r="A43" s="112" t="s">
        <v>648</v>
      </c>
      <c r="B43" s="113" t="s">
        <v>7</v>
      </c>
      <c r="C43" s="117">
        <v>8.5000000000000006E-2</v>
      </c>
      <c r="D43" s="117">
        <v>1</v>
      </c>
      <c r="E43" s="117">
        <f t="shared" si="1"/>
        <v>8.5000000000000006E-2</v>
      </c>
      <c r="F43" s="113">
        <v>1</v>
      </c>
      <c r="G43" s="113">
        <f>F43*C43</f>
        <v>8.5000000000000006E-2</v>
      </c>
    </row>
    <row r="44" spans="1:11" ht="12.75" thickTop="1" thickBot="1">
      <c r="A44" s="114" t="s">
        <v>178</v>
      </c>
      <c r="B44" s="107"/>
      <c r="C44" s="107"/>
      <c r="D44" s="107"/>
      <c r="E44" s="115">
        <f>SUM(E25:E43)</f>
        <v>0.18361048714733996</v>
      </c>
      <c r="F44" s="107"/>
      <c r="G44" s="105">
        <f>SUM(G25:G43)</f>
        <v>0.16103634925287935</v>
      </c>
    </row>
    <row r="45" spans="1:11" ht="12" thickTop="1"/>
    <row r="46" spans="1:11" ht="12" thickBot="1"/>
    <row r="47" spans="1:11" ht="17.25" thickTop="1" thickBot="1">
      <c r="A47" s="121" t="s">
        <v>473</v>
      </c>
      <c r="B47" s="107"/>
      <c r="C47" s="107"/>
      <c r="D47" s="107"/>
      <c r="E47" s="105">
        <f>G44/28*17</f>
        <v>9.7772069189248176E-2</v>
      </c>
    </row>
    <row r="48" spans="1:11" ht="12" thickTop="1">
      <c r="K48" s="116"/>
    </row>
    <row r="49" spans="1:7" ht="12" thickBot="1">
      <c r="B49" s="118"/>
      <c r="C49" s="118"/>
      <c r="D49" s="118"/>
      <c r="E49" s="118"/>
    </row>
    <row r="50" spans="1:7" ht="17.25" thickTop="1" thickBot="1">
      <c r="A50" s="120" t="s">
        <v>14</v>
      </c>
      <c r="B50" s="118"/>
      <c r="C50" s="118"/>
      <c r="D50" s="118"/>
      <c r="E50" s="118"/>
    </row>
    <row r="51" spans="1:7" ht="12.75" thickTop="1" thickBot="1">
      <c r="A51" s="114" t="s">
        <v>647</v>
      </c>
      <c r="B51" s="107"/>
      <c r="C51" s="107"/>
      <c r="D51" s="107" t="s">
        <v>575</v>
      </c>
      <c r="E51" s="108" t="s">
        <v>577</v>
      </c>
    </row>
    <row r="52" spans="1:7" ht="12" thickTop="1">
      <c r="A52" s="93" t="s">
        <v>654</v>
      </c>
      <c r="B52" s="96"/>
      <c r="C52" s="96"/>
      <c r="D52" s="96"/>
      <c r="E52" s="96"/>
    </row>
    <row r="53" spans="1:7">
      <c r="A53" s="110" t="s">
        <v>651</v>
      </c>
      <c r="B53" s="96"/>
      <c r="C53" s="96"/>
      <c r="D53" s="96"/>
      <c r="E53" s="96"/>
    </row>
    <row r="54" spans="1:7">
      <c r="A54" s="110" t="s">
        <v>652</v>
      </c>
      <c r="B54" s="96"/>
      <c r="C54" s="96"/>
      <c r="D54" s="96"/>
      <c r="E54" s="96"/>
    </row>
    <row r="55" spans="1:7">
      <c r="A55" s="110" t="s">
        <v>653</v>
      </c>
      <c r="B55" s="96"/>
      <c r="C55" s="96"/>
      <c r="D55" s="96"/>
      <c r="E55" s="96"/>
    </row>
    <row r="56" spans="1:7">
      <c r="A56" s="110" t="s">
        <v>157</v>
      </c>
      <c r="B56" s="96">
        <f>0.008*CO2value</f>
        <v>1.0782430422893482E-3</v>
      </c>
      <c r="C56" s="96" t="s">
        <v>657</v>
      </c>
      <c r="D56" s="96"/>
      <c r="E56" s="96">
        <f>B56</f>
        <v>1.0782430422893482E-3</v>
      </c>
    </row>
    <row r="57" spans="1:7">
      <c r="A57" s="95" t="s">
        <v>656</v>
      </c>
      <c r="B57" s="96"/>
      <c r="C57" s="96"/>
      <c r="D57" s="96"/>
      <c r="E57" s="96"/>
    </row>
    <row r="58" spans="1:7">
      <c r="A58" s="116" t="s">
        <v>461</v>
      </c>
      <c r="B58" s="119">
        <v>5</v>
      </c>
      <c r="C58" s="119" t="s">
        <v>573</v>
      </c>
      <c r="D58" s="119">
        <f>B58*0.05</f>
        <v>0.25</v>
      </c>
      <c r="E58" s="119"/>
    </row>
    <row r="59" spans="1:7" ht="12" thickBot="1">
      <c r="A59" s="116" t="s">
        <v>574</v>
      </c>
      <c r="B59" s="119">
        <v>0.15</v>
      </c>
      <c r="C59" s="119" t="s">
        <v>576</v>
      </c>
      <c r="D59" s="119">
        <f>B59*12/16</f>
        <v>0.11249999999999999</v>
      </c>
      <c r="E59" s="119"/>
    </row>
    <row r="60" spans="1:7" ht="12.75" thickTop="1" thickBot="1">
      <c r="A60" s="114"/>
      <c r="B60" s="107"/>
      <c r="C60" s="107" t="s">
        <v>447</v>
      </c>
      <c r="D60" s="107">
        <f>D58+D59</f>
        <v>0.36249999999999999</v>
      </c>
      <c r="E60" s="105">
        <f>D60/9.2*7+E56</f>
        <v>0.27689346043359375</v>
      </c>
    </row>
    <row r="61" spans="1:7" ht="12" thickTop="1"/>
    <row r="62" spans="1:7">
      <c r="A62" s="109"/>
      <c r="B62" s="96"/>
      <c r="C62" s="96"/>
      <c r="D62" s="96"/>
      <c r="E62" s="96"/>
      <c r="F62" s="110"/>
      <c r="G62" s="96"/>
    </row>
    <row r="63" spans="1:7">
      <c r="A63" s="97"/>
      <c r="B63" s="98"/>
      <c r="C63" s="99"/>
      <c r="D63" s="100"/>
      <c r="E63" s="100"/>
      <c r="F63" s="97"/>
      <c r="G63" s="98"/>
    </row>
    <row r="64" spans="1:7">
      <c r="A64" s="97"/>
      <c r="B64" s="98"/>
      <c r="C64" s="99"/>
      <c r="D64" s="100"/>
      <c r="E64" s="100"/>
      <c r="F64" s="97"/>
      <c r="G64" s="98"/>
    </row>
    <row r="65" spans="1:7">
      <c r="A65" s="97"/>
      <c r="B65" s="98"/>
      <c r="C65" s="99"/>
      <c r="D65" s="100"/>
      <c r="E65" s="100"/>
      <c r="F65" s="97"/>
      <c r="G65" s="98"/>
    </row>
    <row r="66" spans="1:7">
      <c r="A66" s="97"/>
      <c r="B66" s="98"/>
      <c r="C66" s="99"/>
      <c r="D66" s="100"/>
      <c r="E66" s="100"/>
      <c r="F66" s="97"/>
      <c r="G66" s="98"/>
    </row>
    <row r="67" spans="1:7">
      <c r="A67" s="97"/>
      <c r="B67" s="98"/>
      <c r="C67" s="101"/>
      <c r="D67" s="100"/>
      <c r="E67" s="100"/>
      <c r="F67" s="97"/>
      <c r="G67" s="98"/>
    </row>
    <row r="68" spans="1:7">
      <c r="A68" s="97"/>
      <c r="B68" s="98"/>
      <c r="C68" s="99"/>
      <c r="D68" s="100"/>
      <c r="E68" s="100"/>
      <c r="F68" s="97"/>
      <c r="G68" s="98"/>
    </row>
    <row r="69" spans="1:7">
      <c r="A69" s="97"/>
      <c r="B69" s="98"/>
      <c r="C69" s="99"/>
      <c r="D69" s="100"/>
      <c r="E69" s="100"/>
      <c r="F69" s="97"/>
      <c r="G69" s="98"/>
    </row>
    <row r="70" spans="1:7">
      <c r="A70" s="97"/>
      <c r="B70" s="98"/>
      <c r="C70" s="99"/>
      <c r="D70" s="100"/>
      <c r="E70" s="100"/>
      <c r="F70" s="97"/>
      <c r="G70" s="98"/>
    </row>
    <row r="71" spans="1:7">
      <c r="A71" s="97"/>
      <c r="B71" s="98"/>
      <c r="C71" s="99"/>
      <c r="D71" s="100"/>
      <c r="E71" s="100"/>
      <c r="F71" s="97"/>
      <c r="G71" s="98"/>
    </row>
    <row r="72" spans="1:7">
      <c r="A72" s="97"/>
      <c r="B72" s="98"/>
      <c r="C72" s="99"/>
      <c r="D72" s="100"/>
      <c r="E72" s="100"/>
      <c r="F72" s="97"/>
      <c r="G72" s="98"/>
    </row>
    <row r="73" spans="1:7">
      <c r="A73" s="97"/>
      <c r="B73" s="98"/>
      <c r="C73" s="99"/>
      <c r="D73" s="100"/>
      <c r="E73" s="100"/>
      <c r="F73" s="97"/>
      <c r="G73" s="98"/>
    </row>
    <row r="74" spans="1:7">
      <c r="A74" s="97"/>
      <c r="B74" s="98"/>
      <c r="C74" s="99"/>
      <c r="D74" s="100"/>
      <c r="E74" s="100"/>
      <c r="F74" s="97"/>
      <c r="G74" s="98"/>
    </row>
    <row r="75" spans="1:7">
      <c r="A75" s="97"/>
      <c r="B75" s="98"/>
      <c r="C75" s="99"/>
      <c r="D75" s="100"/>
      <c r="E75" s="100"/>
      <c r="F75" s="97"/>
      <c r="G75" s="98"/>
    </row>
    <row r="76" spans="1:7">
      <c r="A76" s="97"/>
      <c r="B76" s="98"/>
      <c r="C76" s="101"/>
      <c r="D76" s="100"/>
      <c r="E76" s="100"/>
      <c r="F76" s="97"/>
      <c r="G76" s="98"/>
    </row>
    <row r="77" spans="1:7">
      <c r="A77" s="97"/>
      <c r="B77" s="98"/>
      <c r="C77" s="99"/>
      <c r="D77" s="100"/>
      <c r="E77" s="100"/>
      <c r="F77" s="97"/>
      <c r="G77" s="98"/>
    </row>
    <row r="78" spans="1:7">
      <c r="A78" s="97"/>
      <c r="B78" s="98"/>
      <c r="C78" s="99"/>
      <c r="D78" s="100"/>
      <c r="E78" s="100"/>
      <c r="F78" s="97"/>
      <c r="G78" s="98"/>
    </row>
    <row r="79" spans="1:7">
      <c r="A79" s="103"/>
      <c r="B79" s="98"/>
      <c r="C79" s="99"/>
      <c r="D79" s="100"/>
      <c r="E79" s="100"/>
      <c r="F79" s="97"/>
      <c r="G79" s="98"/>
    </row>
  </sheetData>
  <phoneticPr fontId="0" type="noConversion"/>
  <pageMargins left="0.75" right="0.75" top="1" bottom="1" header="0.5" footer="0.5"/>
  <pageSetup paperSize="9"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8"/>
  <sheetViews>
    <sheetView topLeftCell="A24" workbookViewId="0">
      <selection activeCell="L190" sqref="L190"/>
    </sheetView>
  </sheetViews>
  <sheetFormatPr defaultColWidth="8.85546875" defaultRowHeight="12.75"/>
  <cols>
    <col min="1" max="1" width="24.85546875" customWidth="1"/>
    <col min="2" max="2" width="15.42578125" customWidth="1"/>
    <col min="3" max="3" width="12.7109375" customWidth="1"/>
    <col min="4" max="4" width="9.140625" customWidth="1"/>
    <col min="5" max="5" width="15.85546875" customWidth="1"/>
    <col min="6" max="6" width="15" customWidth="1"/>
    <col min="11" max="11" width="9.85546875" customWidth="1"/>
  </cols>
  <sheetData>
    <row r="1" spans="1:15" ht="15.75">
      <c r="A1" s="10" t="s">
        <v>586</v>
      </c>
    </row>
    <row r="2" spans="1:15" ht="13.5" thickBot="1"/>
    <row r="3" spans="1:15" ht="13.5" customHeight="1" thickTop="1" thickBot="1">
      <c r="A3" s="18"/>
      <c r="B3" s="212">
        <v>1</v>
      </c>
      <c r="C3" s="213"/>
      <c r="D3" s="212">
        <v>2</v>
      </c>
      <c r="E3" s="213"/>
      <c r="F3" s="212">
        <v>5</v>
      </c>
      <c r="G3" s="213"/>
      <c r="H3" s="212">
        <v>6</v>
      </c>
      <c r="I3" s="213"/>
      <c r="J3" s="11"/>
    </row>
    <row r="4" spans="1:15" ht="14.25" customHeight="1" thickBot="1">
      <c r="A4" s="19" t="s">
        <v>443</v>
      </c>
      <c r="B4" s="208" t="s">
        <v>444</v>
      </c>
      <c r="C4" s="209"/>
      <c r="D4" s="19" t="s">
        <v>445</v>
      </c>
      <c r="E4" s="19"/>
      <c r="F4" s="210" t="s">
        <v>446</v>
      </c>
      <c r="G4" s="211"/>
      <c r="H4" s="210" t="s">
        <v>587</v>
      </c>
      <c r="I4" s="211"/>
      <c r="J4" s="21" t="s">
        <v>447</v>
      </c>
      <c r="K4" s="1"/>
      <c r="L4" s="1"/>
      <c r="M4" s="1"/>
      <c r="N4" s="1"/>
      <c r="O4" s="1"/>
    </row>
    <row r="5" spans="1:15" ht="15" thickBot="1">
      <c r="A5" s="22"/>
      <c r="B5" s="23" t="s">
        <v>438</v>
      </c>
      <c r="C5" s="23" t="s">
        <v>439</v>
      </c>
      <c r="D5" s="24" t="s">
        <v>440</v>
      </c>
      <c r="E5" s="24" t="s">
        <v>441</v>
      </c>
      <c r="F5" s="24" t="s">
        <v>442</v>
      </c>
      <c r="G5" s="24" t="s">
        <v>441</v>
      </c>
      <c r="H5" s="24" t="s">
        <v>588</v>
      </c>
      <c r="I5" s="24" t="s">
        <v>441</v>
      </c>
      <c r="J5" s="17" t="s">
        <v>439</v>
      </c>
      <c r="K5" s="1"/>
      <c r="L5" s="1"/>
      <c r="M5" s="1"/>
      <c r="N5" s="1"/>
      <c r="O5" s="1"/>
    </row>
    <row r="6" spans="1:15" ht="17.25" thickTop="1">
      <c r="A6" s="13" t="s">
        <v>579</v>
      </c>
      <c r="B6" s="25"/>
      <c r="C6" s="26"/>
      <c r="D6" s="28">
        <v>2.5599999999999999E-5</v>
      </c>
      <c r="E6" s="29">
        <v>1.6500000000000001E-5</v>
      </c>
      <c r="F6" s="28">
        <v>4.7899999999999998E-2</v>
      </c>
      <c r="G6" s="29">
        <v>7.5399999999999995E-2</v>
      </c>
      <c r="H6" s="28">
        <v>5.7700000000000001E-2</v>
      </c>
      <c r="I6" s="29">
        <v>0.111</v>
      </c>
      <c r="J6" s="29">
        <f>C6+E6+G6+I6</f>
        <v>0.18641649999999998</v>
      </c>
      <c r="K6" s="29"/>
      <c r="L6" s="1"/>
      <c r="M6" s="1"/>
      <c r="N6" s="1"/>
      <c r="O6" s="1"/>
    </row>
    <row r="7" spans="1:15">
      <c r="A7" s="13" t="s">
        <v>430</v>
      </c>
      <c r="B7" s="25"/>
      <c r="C7" s="29">
        <v>0</v>
      </c>
      <c r="D7" s="28">
        <v>9.31E-5</v>
      </c>
      <c r="E7" s="29">
        <v>6.02E-5</v>
      </c>
      <c r="F7" s="28">
        <v>0.24099999999999999</v>
      </c>
      <c r="G7" s="29">
        <v>0.38</v>
      </c>
      <c r="H7" s="28">
        <v>3.8300000000000001E-2</v>
      </c>
      <c r="I7" s="29">
        <v>7.3800000000000004E-2</v>
      </c>
      <c r="J7" s="29">
        <f t="shared" ref="J7:J13" si="0">C7+E7+G7+I7</f>
        <v>0.45386020000000005</v>
      </c>
      <c r="K7" s="29"/>
      <c r="L7" s="1"/>
      <c r="M7" s="1"/>
      <c r="N7" s="1"/>
      <c r="O7" s="1"/>
    </row>
    <row r="8" spans="1:15">
      <c r="A8" s="13" t="s">
        <v>431</v>
      </c>
      <c r="B8" s="25"/>
      <c r="C8" s="29">
        <v>0</v>
      </c>
      <c r="D8" s="28">
        <v>2.7599999999999999E-4</v>
      </c>
      <c r="E8" s="29">
        <v>1.7899999999999999E-4</v>
      </c>
      <c r="F8" s="28">
        <v>0.192</v>
      </c>
      <c r="G8" s="29">
        <v>0.30299999999999999</v>
      </c>
      <c r="H8" s="28">
        <v>3.1300000000000001E-2</v>
      </c>
      <c r="I8" s="29">
        <v>6.0299999999999999E-2</v>
      </c>
      <c r="J8" s="29">
        <f t="shared" si="0"/>
        <v>0.363479</v>
      </c>
      <c r="K8" s="29"/>
      <c r="L8" s="1"/>
      <c r="M8" s="1"/>
      <c r="N8" s="1"/>
      <c r="O8" s="1"/>
    </row>
    <row r="9" spans="1:15">
      <c r="A9" s="13" t="s">
        <v>432</v>
      </c>
      <c r="B9" s="30">
        <v>2.8500000000000001E-2</v>
      </c>
      <c r="C9" s="29">
        <v>1.84E-2</v>
      </c>
      <c r="D9" s="28">
        <v>7.75E-5</v>
      </c>
      <c r="E9" s="29">
        <v>5.0099999999999998E-5</v>
      </c>
      <c r="F9" s="28">
        <v>5.4800000000000001E-2</v>
      </c>
      <c r="G9" s="29">
        <v>8.6199999999999999E-2</v>
      </c>
      <c r="H9" s="28">
        <v>1.0699999999999999E-2</v>
      </c>
      <c r="I9" s="29">
        <v>2.06E-2</v>
      </c>
      <c r="J9" s="29">
        <f t="shared" si="0"/>
        <v>0.1252501</v>
      </c>
      <c r="K9" s="29"/>
      <c r="L9" s="1"/>
      <c r="M9" s="1"/>
      <c r="N9" s="1"/>
      <c r="O9" s="1"/>
    </row>
    <row r="10" spans="1:15" ht="14.25">
      <c r="A10" s="13" t="s">
        <v>580</v>
      </c>
      <c r="B10" s="25"/>
      <c r="C10" s="29">
        <v>0</v>
      </c>
      <c r="D10" s="28">
        <v>2.4200000000000001E-6</v>
      </c>
      <c r="E10" s="29">
        <v>1.5600000000000001E-6</v>
      </c>
      <c r="F10" s="28">
        <v>1.82E-3</v>
      </c>
      <c r="G10" s="29">
        <v>2.8600000000000001E-3</v>
      </c>
      <c r="H10" s="28">
        <v>5.8399999999999999E-4</v>
      </c>
      <c r="I10" s="29">
        <v>1.1299999999999999E-3</v>
      </c>
      <c r="J10" s="29">
        <f t="shared" si="0"/>
        <v>3.9915599999999999E-3</v>
      </c>
      <c r="K10" s="29"/>
      <c r="L10" s="1"/>
      <c r="M10" s="1"/>
      <c r="N10" s="1"/>
      <c r="O10" s="1"/>
    </row>
    <row r="11" spans="1:15" ht="14.25">
      <c r="A11" s="13" t="s">
        <v>581</v>
      </c>
      <c r="B11" s="30">
        <v>9.4799999999999995E-2</v>
      </c>
      <c r="C11" s="29">
        <v>6.1199999999999997E-2</v>
      </c>
      <c r="D11" s="28">
        <v>1.1100000000000001E-3</v>
      </c>
      <c r="E11" s="29">
        <v>7.1599999999999995E-4</v>
      </c>
      <c r="F11" s="28">
        <v>0.80300000000000005</v>
      </c>
      <c r="G11" s="29">
        <v>1.27</v>
      </c>
      <c r="H11" s="28">
        <v>0.23400000000000001</v>
      </c>
      <c r="I11" s="29">
        <v>0.45</v>
      </c>
      <c r="J11" s="29">
        <f t="shared" si="0"/>
        <v>1.7819160000000001</v>
      </c>
      <c r="K11" s="29"/>
      <c r="L11" s="1"/>
      <c r="M11" s="1"/>
      <c r="N11" s="1"/>
      <c r="O11" s="1"/>
    </row>
    <row r="12" spans="1:15">
      <c r="A12" s="13" t="s">
        <v>435</v>
      </c>
      <c r="B12" s="30">
        <v>1.18E-4</v>
      </c>
      <c r="C12" s="29">
        <v>7.5900000000000002E-5</v>
      </c>
      <c r="D12" s="28">
        <v>9.9999999999999995E-7</v>
      </c>
      <c r="E12" s="29">
        <v>6.4600000000000004E-7</v>
      </c>
      <c r="F12" s="28">
        <v>4.1899999999999999E-4</v>
      </c>
      <c r="G12" s="29">
        <v>6.6E-4</v>
      </c>
      <c r="H12" s="28">
        <v>8.5000000000000006E-5</v>
      </c>
      <c r="I12" s="29">
        <v>1.64E-4</v>
      </c>
      <c r="J12" s="29">
        <f t="shared" si="0"/>
        <v>9.0054600000000001E-4</v>
      </c>
      <c r="K12" s="29"/>
      <c r="L12" s="1"/>
      <c r="M12" s="1"/>
      <c r="N12" s="1"/>
      <c r="O12" s="1"/>
    </row>
    <row r="13" spans="1:15">
      <c r="A13" s="13" t="s">
        <v>436</v>
      </c>
      <c r="B13" s="30">
        <v>5.2499999999999997E-4</v>
      </c>
      <c r="C13" s="29">
        <v>3.39E-4</v>
      </c>
      <c r="D13" s="28">
        <v>4.1999999999999996E-6</v>
      </c>
      <c r="E13" s="29">
        <v>2.7099999999999999E-6</v>
      </c>
      <c r="F13" s="28">
        <v>1.8E-3</v>
      </c>
      <c r="G13" s="29">
        <v>2.8300000000000001E-3</v>
      </c>
      <c r="H13" s="28">
        <v>4.4000000000000002E-4</v>
      </c>
      <c r="I13" s="29">
        <v>8.4599999999999996E-4</v>
      </c>
      <c r="J13" s="29">
        <f t="shared" si="0"/>
        <v>4.0177099999999999E-3</v>
      </c>
      <c r="K13" s="29"/>
    </row>
    <row r="14" spans="1:15" ht="16.5" thickBot="1">
      <c r="A14" s="27" t="s">
        <v>437</v>
      </c>
      <c r="B14" s="16"/>
      <c r="C14" s="31">
        <v>0</v>
      </c>
      <c r="D14" s="32">
        <v>3.0000000000000001E-6</v>
      </c>
      <c r="E14" s="31">
        <v>1.9400000000000001E-6</v>
      </c>
      <c r="F14" s="32">
        <v>4.0000000000000001E-3</v>
      </c>
      <c r="G14" s="31">
        <v>6.2899999999999996E-3</v>
      </c>
      <c r="H14" s="32">
        <v>5.3600000000000002E-3</v>
      </c>
      <c r="I14" s="31">
        <v>1.03E-2</v>
      </c>
      <c r="J14" s="31">
        <v>1.66E-2</v>
      </c>
      <c r="K14" s="35"/>
      <c r="L14" s="10" t="s">
        <v>589</v>
      </c>
    </row>
    <row r="15" spans="1:15" ht="13.5" thickTop="1">
      <c r="G15" s="1"/>
      <c r="H15" s="1"/>
      <c r="K15" s="1"/>
    </row>
    <row r="16" spans="1:15">
      <c r="G16" s="1"/>
      <c r="H16" s="1"/>
      <c r="K16" s="1"/>
      <c r="M16" s="1"/>
    </row>
    <row r="17" spans="1:15" ht="15.75">
      <c r="A17" s="10" t="s">
        <v>584</v>
      </c>
      <c r="B17" s="1"/>
      <c r="C17" s="1"/>
      <c r="D17" s="1"/>
      <c r="E17" s="1"/>
      <c r="F17" s="1"/>
      <c r="G17" s="1"/>
      <c r="H17" s="1"/>
      <c r="K17" s="1"/>
      <c r="M17" s="1"/>
    </row>
    <row r="18" spans="1:15" ht="13.5" thickBot="1">
      <c r="C18" s="1"/>
      <c r="D18" s="1"/>
      <c r="E18" s="1"/>
      <c r="F18" s="1"/>
      <c r="G18" s="1"/>
      <c r="H18" s="1"/>
      <c r="K18" s="1"/>
      <c r="M18" s="1"/>
    </row>
    <row r="19" spans="1:15" ht="55.5" thickTop="1" thickBot="1">
      <c r="A19" s="11"/>
      <c r="B19" s="12" t="s">
        <v>585</v>
      </c>
      <c r="C19" s="12" t="s">
        <v>590</v>
      </c>
      <c r="D19" s="12" t="s">
        <v>448</v>
      </c>
      <c r="E19" s="12" t="s">
        <v>449</v>
      </c>
      <c r="F19" s="12" t="s">
        <v>450</v>
      </c>
      <c r="G19" s="1"/>
      <c r="H19" s="1"/>
      <c r="K19" s="1"/>
      <c r="M19" s="1"/>
    </row>
    <row r="20" spans="1:15" ht="16.5">
      <c r="A20" s="13" t="s">
        <v>579</v>
      </c>
      <c r="B20" s="28">
        <f>naturalgasvalue*16/22.4</f>
        <v>0.19778104316685269</v>
      </c>
      <c r="C20" s="33">
        <v>0.186</v>
      </c>
      <c r="D20" s="33">
        <v>6.64</v>
      </c>
      <c r="E20" s="33">
        <f>B20*C20</f>
        <v>3.6787274029034603E-2</v>
      </c>
      <c r="F20" s="15"/>
      <c r="G20" s="1"/>
      <c r="H20" s="1"/>
      <c r="J20" s="33"/>
      <c r="K20" s="1"/>
      <c r="M20" s="1"/>
    </row>
    <row r="21" spans="1:15">
      <c r="A21" s="13" t="s">
        <v>430</v>
      </c>
      <c r="B21" s="28">
        <f>lignitevalue</f>
        <v>9.7772069189248176E-2</v>
      </c>
      <c r="C21" s="33">
        <v>0.45300000000000001</v>
      </c>
      <c r="D21" s="33">
        <v>7.71</v>
      </c>
      <c r="E21" s="33">
        <f t="shared" ref="E21:E29" si="1">B21*C21</f>
        <v>4.4290747342729427E-2</v>
      </c>
      <c r="F21" s="15"/>
      <c r="G21" s="1"/>
      <c r="H21" s="1"/>
      <c r="J21" s="33"/>
      <c r="K21" s="1"/>
      <c r="M21" s="1"/>
    </row>
    <row r="22" spans="1:15">
      <c r="A22" s="13" t="s">
        <v>431</v>
      </c>
      <c r="B22" s="28">
        <f>coalvalue</f>
        <v>0.16103634925287935</v>
      </c>
      <c r="C22" s="33">
        <v>0.36399999999999999</v>
      </c>
      <c r="D22" s="33">
        <v>10.9</v>
      </c>
      <c r="E22" s="33">
        <f t="shared" si="1"/>
        <v>5.8617231128048085E-2</v>
      </c>
      <c r="F22" s="15"/>
      <c r="G22" s="1"/>
      <c r="H22" s="1"/>
      <c r="J22" s="33"/>
      <c r="K22" s="1"/>
      <c r="M22" s="1"/>
    </row>
    <row r="23" spans="1:15">
      <c r="A23" s="13" t="s">
        <v>432</v>
      </c>
      <c r="B23" s="28">
        <f>oilvalue</f>
        <v>0.47</v>
      </c>
      <c r="C23" s="33">
        <v>0.125</v>
      </c>
      <c r="D23" s="33">
        <v>5.01</v>
      </c>
      <c r="E23" s="33">
        <f t="shared" si="1"/>
        <v>5.8749999999999997E-2</v>
      </c>
      <c r="F23" s="15"/>
      <c r="J23" s="33"/>
      <c r="M23" s="5"/>
      <c r="N23" s="5"/>
      <c r="O23" s="5"/>
    </row>
    <row r="24" spans="1:15">
      <c r="A24" s="13" t="s">
        <v>451</v>
      </c>
      <c r="B24" s="28">
        <v>5.5999999999999995E-4</v>
      </c>
      <c r="C24" s="15"/>
      <c r="D24" s="15"/>
      <c r="E24" s="33">
        <f t="shared" si="1"/>
        <v>0</v>
      </c>
      <c r="F24" s="33">
        <f>B24*D30</f>
        <v>1.6968E-2</v>
      </c>
      <c r="H24" s="33"/>
      <c r="M24" s="1"/>
      <c r="N24" s="1"/>
      <c r="O24" s="1"/>
    </row>
    <row r="25" spans="1:15" ht="14.25">
      <c r="A25" s="13" t="s">
        <v>580</v>
      </c>
      <c r="B25" s="54">
        <f>methanevalue</f>
        <v>3.8203507688338036</v>
      </c>
      <c r="C25" s="33">
        <v>3.9899999999999996E-3</v>
      </c>
      <c r="D25" s="15"/>
      <c r="E25" s="33">
        <f t="shared" si="1"/>
        <v>1.5243199567646875E-2</v>
      </c>
      <c r="F25" s="15"/>
      <c r="M25" s="1"/>
      <c r="N25" s="1"/>
      <c r="O25" s="1"/>
    </row>
    <row r="26" spans="1:15" ht="14.25">
      <c r="A26" s="13" t="s">
        <v>581</v>
      </c>
      <c r="B26" s="33">
        <f>CO2value</f>
        <v>0.13478038028616854</v>
      </c>
      <c r="C26" s="33">
        <v>1.78</v>
      </c>
      <c r="D26" s="15"/>
      <c r="E26" s="33">
        <f t="shared" si="1"/>
        <v>0.23990907690938001</v>
      </c>
      <c r="F26" s="15"/>
      <c r="M26" s="1"/>
      <c r="N26" s="1"/>
      <c r="O26" s="1"/>
    </row>
    <row r="27" spans="1:15">
      <c r="A27" s="13" t="s">
        <v>452</v>
      </c>
      <c r="B27" s="54">
        <f>NMVOCvalue</f>
        <v>17.408381273323123</v>
      </c>
      <c r="C27" s="33">
        <v>9.01E-4</v>
      </c>
      <c r="D27" s="15"/>
      <c r="E27" s="33">
        <f t="shared" si="1"/>
        <v>1.5684951527264134E-2</v>
      </c>
      <c r="F27" s="15"/>
      <c r="M27" s="1"/>
      <c r="N27" s="1"/>
      <c r="O27" s="1"/>
    </row>
    <row r="28" spans="1:15" ht="14.25">
      <c r="A28" s="13" t="s">
        <v>582</v>
      </c>
      <c r="B28" s="54">
        <f>NOxvalue</f>
        <v>-14.07161252757381</v>
      </c>
      <c r="C28" s="33">
        <v>4.0200000000000001E-3</v>
      </c>
      <c r="D28" s="15"/>
      <c r="E28" s="33">
        <f t="shared" si="1"/>
        <v>-5.656788236084672E-2</v>
      </c>
      <c r="F28" s="33">
        <f>0.5*B28*C28</f>
        <v>-2.828394118042336E-2</v>
      </c>
      <c r="M28" s="1"/>
      <c r="N28" s="1"/>
      <c r="O28" s="1"/>
    </row>
    <row r="29" spans="1:15" ht="14.25">
      <c r="A29" s="13" t="s">
        <v>583</v>
      </c>
      <c r="B29" s="54">
        <f>SO2value</f>
        <v>-6.657808082750325</v>
      </c>
      <c r="C29" s="33">
        <v>1.66E-2</v>
      </c>
      <c r="D29" s="15"/>
      <c r="E29" s="33">
        <f t="shared" si="1"/>
        <v>-0.1105196141736554</v>
      </c>
      <c r="F29" s="33">
        <f>0.1*B29*C29</f>
        <v>-1.1051961417365539E-2</v>
      </c>
      <c r="M29" s="1"/>
      <c r="N29" s="1"/>
      <c r="O29" s="1"/>
    </row>
    <row r="30" spans="1:15" ht="13.5" thickBot="1">
      <c r="A30" s="16"/>
      <c r="B30" s="17"/>
      <c r="C30" s="17" t="s">
        <v>178</v>
      </c>
      <c r="D30" s="34">
        <v>30.3</v>
      </c>
      <c r="E30" s="34">
        <f>SUM(E20:E29)</f>
        <v>0.30219498396960104</v>
      </c>
      <c r="F30" s="34">
        <f>SUM(F20:F29)</f>
        <v>-2.2367902597788897E-2</v>
      </c>
      <c r="G30" s="1"/>
      <c r="I30" s="1"/>
      <c r="M30" s="1"/>
      <c r="N30" s="1"/>
      <c r="O30" s="1"/>
    </row>
    <row r="31" spans="1:15" ht="13.5" thickTop="1">
      <c r="B31" s="1"/>
      <c r="C31" s="1"/>
      <c r="F31" s="1"/>
      <c r="K31" s="1"/>
      <c r="M31" s="1"/>
      <c r="N31" s="1"/>
      <c r="O31" s="1"/>
    </row>
    <row r="32" spans="1:15">
      <c r="B32" s="1"/>
      <c r="C32" s="1"/>
      <c r="F32" s="1"/>
      <c r="M32" s="1"/>
      <c r="N32" s="1"/>
      <c r="O32" s="1"/>
    </row>
    <row r="33" spans="1:15">
      <c r="B33" s="1"/>
      <c r="C33" s="1"/>
      <c r="F33" s="1"/>
      <c r="M33" s="1"/>
      <c r="N33" s="1"/>
      <c r="O33" s="1"/>
    </row>
    <row r="34" spans="1:15" ht="15.75">
      <c r="A34" s="10" t="s">
        <v>591</v>
      </c>
      <c r="B34" s="1"/>
      <c r="C34" s="1"/>
      <c r="F34" s="1"/>
      <c r="G34" s="1"/>
      <c r="N34" s="5"/>
      <c r="O34" s="1"/>
    </row>
    <row r="35" spans="1:15" ht="13.5" thickBot="1">
      <c r="B35" s="1"/>
      <c r="C35" s="1"/>
      <c r="F35" s="1"/>
      <c r="G35" s="1"/>
    </row>
    <row r="36" spans="1:15" ht="27" thickTop="1" thickBot="1">
      <c r="A36" s="36" t="s">
        <v>454</v>
      </c>
      <c r="B36" s="12" t="s">
        <v>455</v>
      </c>
      <c r="D36" s="1"/>
      <c r="E36" s="1"/>
      <c r="F36" s="1"/>
      <c r="G36" s="1"/>
      <c r="M36" s="5"/>
    </row>
    <row r="37" spans="1:15">
      <c r="A37" s="13" t="s">
        <v>456</v>
      </c>
      <c r="B37" s="33">
        <v>8.6499999999999997E-3</v>
      </c>
    </row>
    <row r="38" spans="1:15">
      <c r="A38" s="13" t="s">
        <v>457</v>
      </c>
      <c r="B38" s="33">
        <v>6.0499999999999998E-2</v>
      </c>
    </row>
    <row r="39" spans="1:15">
      <c r="A39" s="13" t="s">
        <v>458</v>
      </c>
      <c r="B39" s="33">
        <v>0.14799999999999999</v>
      </c>
    </row>
    <row r="40" spans="1:15">
      <c r="A40" s="13" t="s">
        <v>459</v>
      </c>
      <c r="B40" s="33">
        <v>7.2499999999999995E-2</v>
      </c>
      <c r="C40" s="1"/>
      <c r="F40" s="1"/>
    </row>
    <row r="41" spans="1:15">
      <c r="A41" s="13" t="s">
        <v>460</v>
      </c>
      <c r="B41" s="33">
        <v>0.08</v>
      </c>
      <c r="C41" s="1"/>
      <c r="F41" s="1"/>
    </row>
    <row r="42" spans="1:15" ht="13.5" thickBot="1">
      <c r="A42" s="27" t="s">
        <v>447</v>
      </c>
      <c r="B42" s="17">
        <f>SUM(B37:B41)</f>
        <v>0.36965000000000003</v>
      </c>
      <c r="C42" s="1"/>
      <c r="F42" s="1"/>
    </row>
    <row r="43" spans="1:15" ht="14.25" thickTop="1" thickBot="1">
      <c r="B43" s="1"/>
      <c r="C43" s="1"/>
      <c r="E43" s="1"/>
      <c r="F43" s="1"/>
    </row>
    <row r="44" spans="1:15" ht="14.25" thickTop="1" thickBot="1">
      <c r="B44" s="1"/>
      <c r="C44" s="124"/>
      <c r="D44" s="125"/>
      <c r="E44" s="126" t="s">
        <v>1517</v>
      </c>
      <c r="F44" s="105">
        <f>F30+B42</f>
        <v>0.34728209740221117</v>
      </c>
      <c r="G44" s="127" t="s">
        <v>603</v>
      </c>
    </row>
    <row r="45" spans="1:15" ht="13.5" thickTop="1">
      <c r="B45" s="1"/>
      <c r="C45" s="1"/>
      <c r="F45" s="1"/>
    </row>
    <row r="48" spans="1:15">
      <c r="G48" s="1"/>
    </row>
  </sheetData>
  <mergeCells count="7">
    <mergeCell ref="B4:C4"/>
    <mergeCell ref="F4:G4"/>
    <mergeCell ref="H4:I4"/>
    <mergeCell ref="B3:C3"/>
    <mergeCell ref="F3:G3"/>
    <mergeCell ref="H3:I3"/>
    <mergeCell ref="D3:E3"/>
  </mergeCells>
  <phoneticPr fontId="0" type="noConversion"/>
  <pageMargins left="0.75" right="0.75" top="1" bottom="1" header="0.5" footer="0.5"/>
  <pageSetup paperSize="9"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39"/>
  <sheetViews>
    <sheetView topLeftCell="A15" workbookViewId="0">
      <selection activeCell="L190" sqref="L190"/>
    </sheetView>
  </sheetViews>
  <sheetFormatPr defaultColWidth="8.85546875" defaultRowHeight="12.75"/>
  <cols>
    <col min="1" max="1" width="23.7109375" customWidth="1"/>
    <col min="2" max="2" width="16.7109375" customWidth="1"/>
    <col min="3" max="3" width="14.42578125" customWidth="1"/>
    <col min="4" max="4" width="15.85546875" customWidth="1"/>
    <col min="5" max="5" width="16.140625" customWidth="1"/>
    <col min="6" max="6" width="15.85546875" customWidth="1"/>
  </cols>
  <sheetData>
    <row r="1" spans="1:11">
      <c r="A1" s="2" t="s">
        <v>599</v>
      </c>
    </row>
    <row r="2" spans="1:11" ht="13.5" thickBot="1"/>
    <row r="3" spans="1:11" ht="39" thickTop="1">
      <c r="A3" s="214" t="s">
        <v>443</v>
      </c>
      <c r="B3" s="216" t="s">
        <v>1476</v>
      </c>
      <c r="C3" s="216" t="s">
        <v>593</v>
      </c>
      <c r="D3" s="37" t="s">
        <v>594</v>
      </c>
      <c r="E3" s="216" t="s">
        <v>596</v>
      </c>
      <c r="F3" s="37" t="s">
        <v>597</v>
      </c>
      <c r="G3" s="2"/>
      <c r="H3" s="2"/>
      <c r="I3" s="2"/>
      <c r="J3" s="2"/>
    </row>
    <row r="4" spans="1:11" ht="13.5" thickBot="1">
      <c r="A4" s="215"/>
      <c r="B4" s="217"/>
      <c r="C4" s="217"/>
      <c r="D4" s="20" t="s">
        <v>595</v>
      </c>
      <c r="E4" s="217"/>
      <c r="F4" s="20" t="s">
        <v>598</v>
      </c>
    </row>
    <row r="5" spans="1:11">
      <c r="A5" s="13" t="s">
        <v>429</v>
      </c>
      <c r="B5" s="28">
        <f>naturalgasvalue*22.4/16</f>
        <v>0.38765084460703125</v>
      </c>
      <c r="C5" s="28">
        <v>0.41099999999999998</v>
      </c>
      <c r="D5" s="28">
        <v>14.7</v>
      </c>
      <c r="E5" s="28">
        <f>B5*C5</f>
        <v>0.15932449713348984</v>
      </c>
      <c r="F5" s="14"/>
      <c r="G5" s="1"/>
      <c r="H5" s="1"/>
      <c r="I5" s="1"/>
      <c r="J5" s="1"/>
      <c r="K5" s="1"/>
    </row>
    <row r="6" spans="1:11">
      <c r="A6" s="13" t="s">
        <v>430</v>
      </c>
      <c r="B6" s="28">
        <f>lignitevalue</f>
        <v>9.7772069189248176E-2</v>
      </c>
      <c r="C6" s="28">
        <v>0.72299999999999998</v>
      </c>
      <c r="D6" s="28">
        <v>12.3</v>
      </c>
      <c r="E6" s="28">
        <f t="shared" ref="E6:E15" si="0">B6*C6</f>
        <v>7.0689206023826431E-2</v>
      </c>
      <c r="F6" s="14"/>
      <c r="G6" s="1"/>
      <c r="H6" s="1"/>
      <c r="I6" s="1"/>
      <c r="J6" s="1"/>
      <c r="K6" s="1"/>
    </row>
    <row r="7" spans="1:11">
      <c r="A7" s="13" t="s">
        <v>431</v>
      </c>
      <c r="B7" s="28">
        <f>coalvalue</f>
        <v>0.16103634925287935</v>
      </c>
      <c r="C7" s="28">
        <v>0.58099999999999996</v>
      </c>
      <c r="D7" s="28">
        <v>17.399999999999999</v>
      </c>
      <c r="E7" s="28">
        <f t="shared" si="0"/>
        <v>9.3562118915922893E-2</v>
      </c>
      <c r="F7" s="14"/>
      <c r="G7" s="1"/>
      <c r="H7" s="1"/>
      <c r="I7" s="1"/>
      <c r="J7" s="1"/>
    </row>
    <row r="8" spans="1:11">
      <c r="A8" s="13" t="s">
        <v>432</v>
      </c>
      <c r="B8" s="28">
        <f>oilvalue</f>
        <v>0.47</v>
      </c>
      <c r="C8" s="28">
        <v>0.26700000000000002</v>
      </c>
      <c r="D8" s="28">
        <v>10.7</v>
      </c>
      <c r="E8" s="28">
        <f t="shared" si="0"/>
        <v>0.12548999999999999</v>
      </c>
      <c r="F8" s="14"/>
      <c r="G8" s="1"/>
      <c r="H8" s="1"/>
      <c r="I8" s="1"/>
      <c r="J8" s="1"/>
    </row>
    <row r="9" spans="1:11">
      <c r="A9" s="13" t="s">
        <v>451</v>
      </c>
      <c r="B9" s="28">
        <v>5.5999999999999995E-4</v>
      </c>
      <c r="C9" s="14"/>
      <c r="D9" s="14"/>
      <c r="E9" s="28">
        <f t="shared" si="0"/>
        <v>0</v>
      </c>
      <c r="F9" s="28">
        <f>SUM(D5:D8)*B9</f>
        <v>3.0855999999999995E-2</v>
      </c>
      <c r="G9" s="28"/>
      <c r="H9" s="1"/>
      <c r="I9" s="1"/>
      <c r="J9" s="1"/>
      <c r="K9" s="1"/>
    </row>
    <row r="10" spans="1:11">
      <c r="A10" s="13" t="s">
        <v>433</v>
      </c>
      <c r="B10" s="28">
        <f>methanevalue</f>
        <v>3.8203507688338036</v>
      </c>
      <c r="C10" s="28">
        <v>7.0400000000000003E-3</v>
      </c>
      <c r="D10" s="14"/>
      <c r="E10" s="28">
        <f t="shared" si="0"/>
        <v>2.6895269412589979E-2</v>
      </c>
      <c r="F10" s="14"/>
      <c r="G10" s="1"/>
      <c r="H10" s="1"/>
      <c r="I10" s="1"/>
      <c r="J10" s="1"/>
      <c r="K10" s="1"/>
    </row>
    <row r="11" spans="1:11">
      <c r="A11" s="13" t="s">
        <v>434</v>
      </c>
      <c r="B11" s="28">
        <f>CO2value</f>
        <v>0.13478038028616854</v>
      </c>
      <c r="C11" s="28">
        <v>2.98</v>
      </c>
      <c r="D11" s="14"/>
      <c r="E11" s="28">
        <f t="shared" si="0"/>
        <v>0.40164553325278224</v>
      </c>
      <c r="F11" s="14"/>
      <c r="G11" s="1"/>
      <c r="H11" s="1"/>
      <c r="I11" s="1"/>
      <c r="J11" s="1"/>
      <c r="K11" s="1"/>
    </row>
    <row r="12" spans="1:11">
      <c r="A12" s="13" t="s">
        <v>452</v>
      </c>
      <c r="B12" s="28">
        <f>NMVOCvalue</f>
        <v>17.408381273323123</v>
      </c>
      <c r="C12" s="28">
        <v>1.5499999999999999E-3</v>
      </c>
      <c r="D12" s="14"/>
      <c r="E12" s="28">
        <f t="shared" si="0"/>
        <v>2.6982990973650839E-2</v>
      </c>
      <c r="F12" s="14"/>
      <c r="G12" s="1"/>
      <c r="H12" s="1"/>
      <c r="I12" s="1"/>
      <c r="J12" s="1"/>
      <c r="K12" s="1"/>
    </row>
    <row r="13" spans="1:11">
      <c r="A13" s="13" t="s">
        <v>453</v>
      </c>
      <c r="B13" s="28">
        <f>NOxvalue</f>
        <v>-14.07161252757381</v>
      </c>
      <c r="C13" s="28">
        <v>7.9299999999999995E-3</v>
      </c>
      <c r="D13" s="14"/>
      <c r="E13" s="28">
        <f t="shared" si="0"/>
        <v>-0.11158788734366031</v>
      </c>
      <c r="F13" s="28">
        <f>E13/10</f>
        <v>-1.1158788734366031E-2</v>
      </c>
      <c r="G13" s="28"/>
      <c r="H13" s="1"/>
      <c r="I13" s="1"/>
      <c r="J13" s="1"/>
      <c r="K13" s="1"/>
    </row>
    <row r="14" spans="1:11">
      <c r="A14" s="13" t="s">
        <v>437</v>
      </c>
      <c r="B14" s="28">
        <f>SO2value</f>
        <v>-6.657808082750325</v>
      </c>
      <c r="C14" s="28">
        <v>3.7199999999999997E-2</v>
      </c>
      <c r="D14" s="14"/>
      <c r="E14" s="28">
        <f t="shared" si="0"/>
        <v>-0.24767046067831208</v>
      </c>
      <c r="F14" s="28">
        <f>E14/10</f>
        <v>-2.4767046067831207E-2</v>
      </c>
      <c r="J14" s="1"/>
    </row>
    <row r="15" spans="1:11">
      <c r="A15" s="13" t="s">
        <v>484</v>
      </c>
      <c r="B15" s="28">
        <f>Industryuseofforestlandvalue</f>
        <v>3.2304800000000005</v>
      </c>
      <c r="C15" s="28">
        <v>3.2000000000000001E-2</v>
      </c>
      <c r="D15" s="14"/>
      <c r="E15" s="28">
        <f t="shared" si="0"/>
        <v>0.10337536000000001</v>
      </c>
      <c r="F15" s="28">
        <f>E15</f>
        <v>0.10337536000000001</v>
      </c>
    </row>
    <row r="16" spans="1:11" ht="13.5" thickBot="1">
      <c r="A16" s="16"/>
      <c r="B16" s="17"/>
      <c r="C16" s="17" t="s">
        <v>178</v>
      </c>
      <c r="D16" s="32">
        <v>55.1</v>
      </c>
      <c r="E16" s="32">
        <f>SUM(E5:E15)</f>
        <v>0.64870662769028986</v>
      </c>
      <c r="F16" s="32">
        <f>SUM(F5:F15)</f>
        <v>9.8305525197802779E-2</v>
      </c>
    </row>
    <row r="17" spans="1:8" ht="13.5" thickTop="1"/>
    <row r="19" spans="1:8">
      <c r="B19" s="1"/>
      <c r="C19" s="1"/>
      <c r="D19" s="1"/>
      <c r="E19" s="1"/>
    </row>
    <row r="20" spans="1:8" ht="15.75">
      <c r="A20" s="38" t="s">
        <v>600</v>
      </c>
      <c r="B20" s="1"/>
      <c r="C20" s="1"/>
      <c r="D20" s="1"/>
      <c r="E20" s="1"/>
      <c r="G20" s="10" t="s">
        <v>592</v>
      </c>
    </row>
    <row r="21" spans="1:8" ht="13.5" thickBot="1">
      <c r="B21" s="1"/>
      <c r="C21" s="1"/>
      <c r="D21" s="1"/>
      <c r="E21" s="1"/>
    </row>
    <row r="22" spans="1:8" ht="27" thickTop="1" thickBot="1">
      <c r="A22" s="36" t="s">
        <v>454</v>
      </c>
      <c r="B22" s="36" t="s">
        <v>293</v>
      </c>
      <c r="C22" s="12" t="s">
        <v>489</v>
      </c>
      <c r="D22" s="12" t="s">
        <v>490</v>
      </c>
      <c r="E22" s="12" t="s">
        <v>601</v>
      </c>
    </row>
    <row r="23" spans="1:8">
      <c r="A23" s="13" t="s">
        <v>1555</v>
      </c>
      <c r="B23" s="13" t="s">
        <v>7</v>
      </c>
      <c r="C23" s="28">
        <f>oilvalue</f>
        <v>0.47</v>
      </c>
      <c r="D23" s="28">
        <v>9.2200000000000004E-2</v>
      </c>
      <c r="E23" s="28">
        <f>C23*D23</f>
        <v>4.3333999999999998E-2</v>
      </c>
      <c r="F23" s="28"/>
      <c r="H23" s="1"/>
    </row>
    <row r="24" spans="1:8">
      <c r="A24" s="13" t="s">
        <v>457</v>
      </c>
      <c r="B24" s="13" t="s">
        <v>487</v>
      </c>
      <c r="C24" s="28">
        <v>2E-3</v>
      </c>
      <c r="D24" s="28">
        <v>55.1</v>
      </c>
      <c r="E24" s="28">
        <f>C24*D24</f>
        <v>0.11020000000000001</v>
      </c>
      <c r="F24" s="28"/>
    </row>
    <row r="25" spans="1:8">
      <c r="A25" s="13" t="s">
        <v>485</v>
      </c>
      <c r="B25" s="13" t="s">
        <v>7</v>
      </c>
      <c r="C25" s="28">
        <v>0.1</v>
      </c>
      <c r="D25" s="28">
        <v>2.15</v>
      </c>
      <c r="E25" s="28">
        <f>C25*D25</f>
        <v>0.215</v>
      </c>
      <c r="F25" s="28"/>
    </row>
    <row r="26" spans="1:8" ht="14.25">
      <c r="A26" s="13" t="s">
        <v>602</v>
      </c>
      <c r="B26" s="13" t="s">
        <v>7</v>
      </c>
      <c r="C26" s="28">
        <v>0.04</v>
      </c>
      <c r="D26" s="28">
        <v>5.34</v>
      </c>
      <c r="E26" s="28">
        <f>C26*D26</f>
        <v>0.21360000000000001</v>
      </c>
      <c r="F26" s="28"/>
    </row>
    <row r="27" spans="1:8">
      <c r="A27" s="13" t="s">
        <v>488</v>
      </c>
      <c r="B27" s="13" t="s">
        <v>7</v>
      </c>
      <c r="C27" s="28">
        <v>4.0000000000000001E-3</v>
      </c>
      <c r="D27" s="28">
        <v>32.4</v>
      </c>
      <c r="E27" s="28">
        <f>C27*D27</f>
        <v>0.12959999999999999</v>
      </c>
      <c r="F27" s="28"/>
    </row>
    <row r="28" spans="1:8" ht="13.5" thickBot="1">
      <c r="A28" s="16" t="s">
        <v>447</v>
      </c>
      <c r="B28" s="16"/>
      <c r="C28" s="17"/>
      <c r="D28" s="17"/>
      <c r="E28" s="32">
        <f>SUM(E23:E27)</f>
        <v>0.71173400000000009</v>
      </c>
      <c r="F28" s="39"/>
    </row>
    <row r="29" spans="1:8" ht="14.25" thickTop="1" thickBot="1">
      <c r="B29" s="1"/>
      <c r="C29" s="1"/>
      <c r="E29" s="1"/>
      <c r="F29" s="1"/>
    </row>
    <row r="30" spans="1:8" ht="14.25" thickTop="1" thickBot="1">
      <c r="E30" s="124" t="s">
        <v>604</v>
      </c>
      <c r="F30" s="126"/>
      <c r="G30" s="105">
        <f>F16+E28</f>
        <v>0.81003952519780287</v>
      </c>
      <c r="H30" s="127" t="s">
        <v>603</v>
      </c>
    </row>
    <row r="31" spans="1:8" ht="13.5" thickTop="1"/>
    <row r="34" spans="3:7">
      <c r="C34" s="1"/>
      <c r="D34" s="1"/>
      <c r="E34" s="1"/>
    </row>
    <row r="35" spans="3:7">
      <c r="C35" s="1"/>
      <c r="D35" s="1"/>
      <c r="E35" s="1"/>
    </row>
    <row r="36" spans="3:7">
      <c r="C36" s="1"/>
      <c r="D36" s="1"/>
      <c r="E36" s="1"/>
    </row>
    <row r="37" spans="3:7">
      <c r="C37" s="1"/>
      <c r="D37" s="1"/>
      <c r="E37" s="1"/>
    </row>
    <row r="38" spans="3:7">
      <c r="C38" s="1"/>
      <c r="D38" s="1"/>
      <c r="E38" s="1"/>
    </row>
    <row r="39" spans="3:7">
      <c r="C39" s="1"/>
      <c r="E39" s="1"/>
      <c r="G39" s="1"/>
    </row>
  </sheetData>
  <mergeCells count="4">
    <mergeCell ref="A3:A4"/>
    <mergeCell ref="B3:B4"/>
    <mergeCell ref="C3:C4"/>
    <mergeCell ref="E3:E4"/>
  </mergeCells>
  <phoneticPr fontId="0" type="noConversion"/>
  <pageMargins left="0.75" right="0.75" top="1" bottom="1" header="0.5" footer="0.5"/>
  <pageSetup paperSize="9" orientation="portrait"/>
  <headerFooter alignWithMargins="0"/>
  <drawing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81"/>
  <sheetViews>
    <sheetView workbookViewId="0">
      <selection activeCell="L190" sqref="L190"/>
    </sheetView>
  </sheetViews>
  <sheetFormatPr defaultColWidth="8.85546875" defaultRowHeight="12.75"/>
  <cols>
    <col min="1" max="1" width="14.42578125" bestFit="1" customWidth="1"/>
    <col min="2" max="2" width="13.42578125" bestFit="1" customWidth="1"/>
    <col min="3" max="3" width="23.85546875" bestFit="1" customWidth="1"/>
    <col min="4" max="4" width="12" customWidth="1"/>
    <col min="7" max="7" width="11" bestFit="1" customWidth="1"/>
    <col min="8" max="9" width="11.42578125" bestFit="1" customWidth="1"/>
  </cols>
  <sheetData>
    <row r="1" spans="1:12" ht="25.5">
      <c r="A1" t="s">
        <v>297</v>
      </c>
      <c r="B1" t="s">
        <v>298</v>
      </c>
      <c r="C1" s="6" t="s">
        <v>1500</v>
      </c>
      <c r="D1" t="s">
        <v>299</v>
      </c>
    </row>
    <row r="2" spans="1:12">
      <c r="A2" t="s">
        <v>397</v>
      </c>
      <c r="B2" t="s">
        <v>401</v>
      </c>
      <c r="C2" s="4">
        <v>0.05</v>
      </c>
      <c r="D2" s="4">
        <f>3638/C2</f>
        <v>72760</v>
      </c>
      <c r="E2">
        <v>3</v>
      </c>
      <c r="G2" s="1"/>
    </row>
    <row r="3" spans="1:12">
      <c r="A3" t="s">
        <v>254</v>
      </c>
      <c r="B3" t="s">
        <v>402</v>
      </c>
      <c r="C3" s="4">
        <v>1.5</v>
      </c>
      <c r="D3" s="4">
        <f t="shared" ref="D3:D64" si="0">3638/C3</f>
        <v>2425.3333333333335</v>
      </c>
      <c r="E3">
        <v>3</v>
      </c>
      <c r="L3" s="1"/>
    </row>
    <row r="4" spans="1:12">
      <c r="A4" t="s">
        <v>300</v>
      </c>
      <c r="B4" t="s">
        <v>301</v>
      </c>
      <c r="C4" s="4">
        <v>1.8E-3</v>
      </c>
      <c r="D4" s="4">
        <f t="shared" si="0"/>
        <v>2021111.1111111112</v>
      </c>
      <c r="E4">
        <v>3</v>
      </c>
    </row>
    <row r="5" spans="1:12">
      <c r="A5" t="s">
        <v>302</v>
      </c>
      <c r="B5" t="s">
        <v>303</v>
      </c>
      <c r="C5" s="4">
        <v>550</v>
      </c>
      <c r="D5" s="4">
        <f t="shared" si="0"/>
        <v>6.6145454545454543</v>
      </c>
      <c r="E5">
        <v>3</v>
      </c>
    </row>
    <row r="6" spans="1:12">
      <c r="A6" t="s">
        <v>304</v>
      </c>
      <c r="B6" t="s">
        <v>305</v>
      </c>
      <c r="C6" s="4">
        <v>3</v>
      </c>
      <c r="D6" s="4">
        <f t="shared" si="0"/>
        <v>1212.6666666666667</v>
      </c>
      <c r="E6">
        <v>3</v>
      </c>
    </row>
    <row r="7" spans="1:12">
      <c r="A7" t="s">
        <v>398</v>
      </c>
      <c r="B7" t="s">
        <v>403</v>
      </c>
      <c r="C7" s="4">
        <v>0.13</v>
      </c>
      <c r="D7" s="4">
        <f t="shared" si="0"/>
        <v>27984.615384615383</v>
      </c>
      <c r="E7">
        <v>3</v>
      </c>
    </row>
    <row r="8" spans="1:12">
      <c r="A8" s="5" t="s">
        <v>606</v>
      </c>
      <c r="B8" s="5" t="s">
        <v>605</v>
      </c>
      <c r="C8" s="4">
        <v>42000</v>
      </c>
      <c r="D8" s="4">
        <v>0</v>
      </c>
      <c r="E8">
        <v>3</v>
      </c>
    </row>
    <row r="9" spans="1:12">
      <c r="A9" t="s">
        <v>255</v>
      </c>
      <c r="B9" t="s">
        <v>404</v>
      </c>
      <c r="C9" s="4">
        <v>9.8000000000000004E-2</v>
      </c>
      <c r="D9" s="4">
        <f>0.102/C9*67700</f>
        <v>70463.265306122441</v>
      </c>
      <c r="E9">
        <v>3</v>
      </c>
      <c r="I9" s="1"/>
    </row>
    <row r="10" spans="1:12">
      <c r="A10" t="s">
        <v>306</v>
      </c>
      <c r="B10" t="s">
        <v>307</v>
      </c>
      <c r="C10" s="4">
        <v>64</v>
      </c>
      <c r="D10" s="4">
        <f t="shared" si="0"/>
        <v>56.84375</v>
      </c>
      <c r="E10">
        <v>3</v>
      </c>
    </row>
    <row r="11" spans="1:12">
      <c r="A11" t="s">
        <v>308</v>
      </c>
      <c r="B11" t="s">
        <v>309</v>
      </c>
      <c r="C11" s="4">
        <v>17</v>
      </c>
      <c r="D11" s="4">
        <f>262/C11*11.6</f>
        <v>178.7764705882353</v>
      </c>
      <c r="E11">
        <v>3</v>
      </c>
      <c r="I11" s="1"/>
    </row>
    <row r="12" spans="1:12">
      <c r="A12" t="s">
        <v>256</v>
      </c>
      <c r="B12" t="s">
        <v>310</v>
      </c>
      <c r="C12" s="4">
        <v>83</v>
      </c>
      <c r="D12" s="4">
        <f>141/C12*35</f>
        <v>59.457831325301207</v>
      </c>
      <c r="E12">
        <v>3</v>
      </c>
      <c r="I12" s="1"/>
    </row>
    <row r="13" spans="1:12">
      <c r="A13" t="s">
        <v>311</v>
      </c>
      <c r="B13" t="s">
        <v>312</v>
      </c>
      <c r="C13" s="4">
        <v>4.5999999999999996</v>
      </c>
      <c r="D13" s="4">
        <f t="shared" si="0"/>
        <v>790.86956521739137</v>
      </c>
      <c r="E13">
        <v>3</v>
      </c>
    </row>
    <row r="14" spans="1:12">
      <c r="A14" t="s">
        <v>259</v>
      </c>
      <c r="B14" t="s">
        <v>405</v>
      </c>
      <c r="C14" s="4">
        <v>25</v>
      </c>
      <c r="D14" s="4">
        <f>159/C14*14.3</f>
        <v>90.948000000000008</v>
      </c>
      <c r="E14">
        <v>3</v>
      </c>
      <c r="K14" s="1"/>
    </row>
    <row r="15" spans="1:12">
      <c r="A15" t="s">
        <v>313</v>
      </c>
      <c r="B15" t="s">
        <v>314</v>
      </c>
      <c r="C15" s="4">
        <v>3.5</v>
      </c>
      <c r="D15" s="4">
        <f t="shared" si="0"/>
        <v>1039.4285714285713</v>
      </c>
      <c r="E15">
        <v>3</v>
      </c>
    </row>
    <row r="16" spans="1:12">
      <c r="A16" t="s">
        <v>315</v>
      </c>
      <c r="B16" t="s">
        <v>316</v>
      </c>
      <c r="C16" s="4">
        <v>2.2999999999999998</v>
      </c>
      <c r="D16" s="4">
        <f t="shared" si="0"/>
        <v>1581.7391304347827</v>
      </c>
      <c r="E16">
        <v>3</v>
      </c>
      <c r="H16" s="5"/>
    </row>
    <row r="17" spans="1:8">
      <c r="A17" t="s">
        <v>317</v>
      </c>
      <c r="B17" t="s">
        <v>318</v>
      </c>
      <c r="C17" s="4">
        <v>0.88</v>
      </c>
      <c r="D17" s="4">
        <f t="shared" si="0"/>
        <v>4134.090909090909</v>
      </c>
      <c r="E17">
        <v>3</v>
      </c>
    </row>
    <row r="18" spans="1:8">
      <c r="A18" t="s">
        <v>319</v>
      </c>
      <c r="B18" t="s">
        <v>320</v>
      </c>
      <c r="C18" s="4">
        <v>585</v>
      </c>
      <c r="D18" s="4">
        <f>3638/C18</f>
        <v>6.2188034188034189</v>
      </c>
      <c r="E18">
        <v>3</v>
      </c>
    </row>
    <row r="19" spans="1:8">
      <c r="A19" t="s">
        <v>321</v>
      </c>
      <c r="B19" t="s">
        <v>322</v>
      </c>
      <c r="C19" s="4">
        <v>17</v>
      </c>
      <c r="D19" s="4">
        <f t="shared" si="0"/>
        <v>214</v>
      </c>
      <c r="E19">
        <v>3</v>
      </c>
    </row>
    <row r="20" spans="1:8">
      <c r="A20" t="s">
        <v>323</v>
      </c>
      <c r="B20" t="s">
        <v>324</v>
      </c>
      <c r="C20" s="4">
        <v>3.8</v>
      </c>
      <c r="D20" s="4">
        <f t="shared" si="0"/>
        <v>957.36842105263167</v>
      </c>
      <c r="E20">
        <v>3</v>
      </c>
    </row>
    <row r="21" spans="1:8">
      <c r="A21" t="s">
        <v>325</v>
      </c>
      <c r="B21" t="s">
        <v>326</v>
      </c>
      <c r="C21" s="4">
        <v>1.6</v>
      </c>
      <c r="D21" s="4">
        <f t="shared" si="0"/>
        <v>2273.75</v>
      </c>
      <c r="E21">
        <v>3</v>
      </c>
    </row>
    <row r="22" spans="1:8">
      <c r="A22" t="s">
        <v>327</v>
      </c>
      <c r="B22" t="s">
        <v>328</v>
      </c>
      <c r="C22" s="4">
        <v>5.8</v>
      </c>
      <c r="D22" s="4">
        <f>3638/C22</f>
        <v>627.24137931034488</v>
      </c>
      <c r="E22">
        <v>3</v>
      </c>
    </row>
    <row r="23" spans="1:8">
      <c r="A23" t="s">
        <v>257</v>
      </c>
      <c r="B23" t="s">
        <v>406</v>
      </c>
      <c r="C23" s="4">
        <v>6.7000000000000004E-2</v>
      </c>
      <c r="D23" s="4">
        <f t="shared" si="0"/>
        <v>54298.507462686561</v>
      </c>
      <c r="E23">
        <v>3</v>
      </c>
    </row>
    <row r="24" spans="1:8">
      <c r="A24" t="s">
        <v>329</v>
      </c>
      <c r="B24" t="s">
        <v>330</v>
      </c>
      <c r="C24" s="4">
        <v>0.8</v>
      </c>
      <c r="D24" s="4">
        <f t="shared" si="0"/>
        <v>4547.5</v>
      </c>
      <c r="E24">
        <v>3</v>
      </c>
    </row>
    <row r="25" spans="1:8">
      <c r="A25" t="s">
        <v>332</v>
      </c>
      <c r="B25" t="s">
        <v>333</v>
      </c>
      <c r="C25" s="4">
        <v>0.05</v>
      </c>
      <c r="D25" s="4">
        <f t="shared" si="0"/>
        <v>72760</v>
      </c>
      <c r="E25">
        <v>3</v>
      </c>
    </row>
    <row r="26" spans="1:8">
      <c r="A26" t="s">
        <v>334</v>
      </c>
      <c r="B26" t="s">
        <v>335</v>
      </c>
      <c r="C26" s="4">
        <v>2.1999999999999999E-5</v>
      </c>
      <c r="D26" s="4">
        <f t="shared" si="0"/>
        <v>165363636.36363637</v>
      </c>
      <c r="E26">
        <v>3</v>
      </c>
    </row>
    <row r="27" spans="1:8">
      <c r="A27" t="s">
        <v>336</v>
      </c>
      <c r="B27" t="s">
        <v>337</v>
      </c>
      <c r="C27" s="4">
        <v>30</v>
      </c>
      <c r="D27" s="4">
        <f t="shared" si="0"/>
        <v>121.26666666666667</v>
      </c>
      <c r="E27">
        <v>3</v>
      </c>
    </row>
    <row r="28" spans="1:8">
      <c r="A28" t="s">
        <v>338</v>
      </c>
      <c r="B28" t="s">
        <v>339</v>
      </c>
      <c r="C28" s="4">
        <v>20</v>
      </c>
      <c r="D28" s="4">
        <f t="shared" si="0"/>
        <v>181.9</v>
      </c>
      <c r="E28">
        <v>3</v>
      </c>
    </row>
    <row r="29" spans="1:8">
      <c r="A29" t="s">
        <v>340</v>
      </c>
      <c r="B29" t="s">
        <v>498</v>
      </c>
      <c r="C29" s="4">
        <v>0.32</v>
      </c>
      <c r="D29" s="4">
        <f t="shared" si="0"/>
        <v>11368.75</v>
      </c>
      <c r="E29">
        <v>3</v>
      </c>
    </row>
    <row r="30" spans="1:8">
      <c r="A30" t="s">
        <v>341</v>
      </c>
      <c r="B30" t="s">
        <v>342</v>
      </c>
      <c r="C30" s="4">
        <v>600</v>
      </c>
      <c r="D30" s="4">
        <f>5.6/C30*527</f>
        <v>4.9186666666666659</v>
      </c>
      <c r="E30">
        <v>3</v>
      </c>
    </row>
    <row r="31" spans="1:8">
      <c r="A31" t="s">
        <v>399</v>
      </c>
      <c r="B31" t="s">
        <v>407</v>
      </c>
      <c r="C31" s="4">
        <v>1.5</v>
      </c>
      <c r="D31" s="4">
        <f t="shared" si="0"/>
        <v>2425.3333333333335</v>
      </c>
      <c r="E31">
        <v>3</v>
      </c>
    </row>
    <row r="32" spans="1:8">
      <c r="A32" t="s">
        <v>343</v>
      </c>
      <c r="B32" t="s">
        <v>344</v>
      </c>
      <c r="C32" s="4">
        <v>12</v>
      </c>
      <c r="D32" s="4">
        <f t="shared" si="0"/>
        <v>303.16666666666669</v>
      </c>
      <c r="E32">
        <v>3</v>
      </c>
      <c r="H32" s="45" t="s">
        <v>1518</v>
      </c>
    </row>
    <row r="33" spans="1:5">
      <c r="A33" t="s">
        <v>345</v>
      </c>
      <c r="B33" t="s">
        <v>346</v>
      </c>
      <c r="C33" s="4">
        <v>26</v>
      </c>
      <c r="D33" s="4">
        <f t="shared" si="0"/>
        <v>139.92307692307693</v>
      </c>
      <c r="E33">
        <v>3</v>
      </c>
    </row>
    <row r="34" spans="1:5">
      <c r="A34" t="s">
        <v>260</v>
      </c>
      <c r="B34" t="s">
        <v>411</v>
      </c>
      <c r="C34" s="4">
        <v>44</v>
      </c>
      <c r="D34" s="4">
        <f>254/C34*18.6</f>
        <v>107.37272727272727</v>
      </c>
      <c r="E34">
        <v>3</v>
      </c>
    </row>
    <row r="35" spans="1:5">
      <c r="A35" t="s">
        <v>347</v>
      </c>
      <c r="B35" t="s">
        <v>348</v>
      </c>
      <c r="C35" s="4">
        <v>5.0000000000000002E-5</v>
      </c>
      <c r="D35" s="4">
        <f t="shared" si="0"/>
        <v>72760000</v>
      </c>
      <c r="E35">
        <v>3</v>
      </c>
    </row>
    <row r="36" spans="1:5">
      <c r="A36" t="s">
        <v>349</v>
      </c>
      <c r="B36" t="s">
        <v>350</v>
      </c>
      <c r="C36" s="4">
        <v>700</v>
      </c>
      <c r="D36" s="4">
        <f t="shared" si="0"/>
        <v>5.1971428571428575</v>
      </c>
      <c r="E36">
        <v>3</v>
      </c>
    </row>
    <row r="37" spans="1:5">
      <c r="A37" t="s">
        <v>261</v>
      </c>
      <c r="B37" t="s">
        <v>408</v>
      </c>
      <c r="C37" s="4">
        <v>17</v>
      </c>
      <c r="D37" s="4">
        <f>392/C37*17</f>
        <v>392</v>
      </c>
      <c r="E37">
        <v>3</v>
      </c>
    </row>
    <row r="38" spans="1:5">
      <c r="A38" t="s">
        <v>351</v>
      </c>
      <c r="B38" t="s">
        <v>352</v>
      </c>
      <c r="C38" s="4">
        <v>5.2999999999999998E-4</v>
      </c>
      <c r="D38" s="4">
        <f t="shared" si="0"/>
        <v>6864150.9433962265</v>
      </c>
      <c r="E38">
        <v>3</v>
      </c>
    </row>
    <row r="39" spans="1:5">
      <c r="A39" t="s">
        <v>353</v>
      </c>
      <c r="B39" t="s">
        <v>354</v>
      </c>
      <c r="C39" s="4">
        <v>7.1</v>
      </c>
      <c r="D39" s="4">
        <f t="shared" si="0"/>
        <v>512.3943661971831</v>
      </c>
      <c r="E39">
        <v>3</v>
      </c>
    </row>
    <row r="40" spans="1:5">
      <c r="A40" t="s">
        <v>355</v>
      </c>
      <c r="B40" t="s">
        <v>356</v>
      </c>
      <c r="C40" s="4">
        <v>5.9999999999999995E-4</v>
      </c>
      <c r="D40" s="4">
        <f t="shared" si="0"/>
        <v>6063333.333333334</v>
      </c>
      <c r="E40">
        <v>3</v>
      </c>
    </row>
    <row r="41" spans="1:5">
      <c r="A41" t="s">
        <v>357</v>
      </c>
      <c r="B41" t="s">
        <v>358</v>
      </c>
      <c r="C41" s="4">
        <v>110</v>
      </c>
      <c r="D41" s="4">
        <f t="shared" si="0"/>
        <v>33.072727272727271</v>
      </c>
      <c r="E41">
        <v>3</v>
      </c>
    </row>
    <row r="42" spans="1:5">
      <c r="A42" t="s">
        <v>359</v>
      </c>
      <c r="B42" t="s">
        <v>360</v>
      </c>
      <c r="C42" s="4">
        <v>4.0000000000000002E-4</v>
      </c>
      <c r="D42" s="4">
        <f t="shared" si="0"/>
        <v>9095000</v>
      </c>
      <c r="E42">
        <v>3</v>
      </c>
    </row>
    <row r="43" spans="1:5">
      <c r="A43" t="s">
        <v>361</v>
      </c>
      <c r="B43" t="s">
        <v>362</v>
      </c>
      <c r="C43" s="4">
        <v>1.8E-5</v>
      </c>
      <c r="D43" s="4">
        <f t="shared" si="0"/>
        <v>202111111.1111111</v>
      </c>
      <c r="E43">
        <v>3</v>
      </c>
    </row>
    <row r="44" spans="1:5">
      <c r="A44" t="s">
        <v>363</v>
      </c>
      <c r="B44" t="s">
        <v>364</v>
      </c>
      <c r="C44" s="4">
        <v>3.0000000000000001E-5</v>
      </c>
      <c r="D44" s="4">
        <f t="shared" si="0"/>
        <v>121266666.66666666</v>
      </c>
      <c r="E44">
        <v>3</v>
      </c>
    </row>
    <row r="45" spans="1:5">
      <c r="A45" t="s">
        <v>365</v>
      </c>
      <c r="B45" t="s">
        <v>366</v>
      </c>
      <c r="C45" s="4">
        <v>0.2</v>
      </c>
      <c r="D45" s="4">
        <f t="shared" si="0"/>
        <v>18190</v>
      </c>
      <c r="E45">
        <v>3</v>
      </c>
    </row>
    <row r="46" spans="1:5">
      <c r="A46" t="s">
        <v>367</v>
      </c>
      <c r="B46" t="s">
        <v>368</v>
      </c>
      <c r="C46" s="4">
        <v>14</v>
      </c>
      <c r="D46" s="4">
        <f t="shared" si="0"/>
        <v>259.85714285714283</v>
      </c>
      <c r="E46">
        <v>3</v>
      </c>
    </row>
    <row r="47" spans="1:5">
      <c r="A47" t="s">
        <v>369</v>
      </c>
      <c r="B47" t="s">
        <v>370</v>
      </c>
      <c r="C47" s="4">
        <v>50</v>
      </c>
      <c r="D47" s="4">
        <f t="shared" si="0"/>
        <v>72.760000000000005</v>
      </c>
      <c r="E47">
        <v>3</v>
      </c>
    </row>
    <row r="48" spans="1:5">
      <c r="A48" t="s">
        <v>371</v>
      </c>
      <c r="B48" t="s">
        <v>372</v>
      </c>
      <c r="C48" s="4">
        <v>4.5</v>
      </c>
      <c r="D48" s="4">
        <f t="shared" si="0"/>
        <v>808.44444444444446</v>
      </c>
      <c r="E48">
        <v>3</v>
      </c>
    </row>
    <row r="49" spans="1:5">
      <c r="A49" t="s">
        <v>400</v>
      </c>
      <c r="B49" t="s">
        <v>409</v>
      </c>
      <c r="C49" s="4">
        <v>5.5</v>
      </c>
      <c r="D49" s="4">
        <f>1060/C49*2.5</f>
        <v>481.81818181818181</v>
      </c>
      <c r="E49">
        <v>3</v>
      </c>
    </row>
    <row r="50" spans="1:5">
      <c r="A50" t="s">
        <v>373</v>
      </c>
      <c r="B50" t="s">
        <v>374</v>
      </c>
      <c r="C50" s="4">
        <v>350</v>
      </c>
      <c r="D50" s="4">
        <f t="shared" si="0"/>
        <v>10.394285714285715</v>
      </c>
      <c r="E50">
        <v>3</v>
      </c>
    </row>
    <row r="51" spans="1:5">
      <c r="A51" t="s">
        <v>375</v>
      </c>
      <c r="B51" t="s">
        <v>376</v>
      </c>
      <c r="C51" s="4">
        <v>1</v>
      </c>
      <c r="D51" s="4">
        <f t="shared" si="0"/>
        <v>3638</v>
      </c>
      <c r="E51">
        <v>3</v>
      </c>
    </row>
    <row r="52" spans="1:5">
      <c r="A52" t="s">
        <v>377</v>
      </c>
      <c r="B52" t="s">
        <v>378</v>
      </c>
      <c r="C52" s="4">
        <v>0.64</v>
      </c>
      <c r="D52" s="4">
        <f t="shared" si="0"/>
        <v>5684.375</v>
      </c>
      <c r="E52">
        <v>3</v>
      </c>
    </row>
    <row r="53" spans="1:5">
      <c r="A53" t="s">
        <v>379</v>
      </c>
      <c r="B53" t="s">
        <v>380</v>
      </c>
      <c r="C53" s="4">
        <v>1E-3</v>
      </c>
      <c r="D53" s="4">
        <f t="shared" si="0"/>
        <v>3638000</v>
      </c>
      <c r="E53">
        <v>3</v>
      </c>
    </row>
    <row r="54" spans="1:5">
      <c r="A54" t="s">
        <v>414</v>
      </c>
      <c r="B54" t="s">
        <v>415</v>
      </c>
      <c r="C54" s="4">
        <v>2.8</v>
      </c>
      <c r="D54" s="4">
        <f t="shared" si="0"/>
        <v>1299.2857142857144</v>
      </c>
      <c r="E54">
        <v>3</v>
      </c>
    </row>
    <row r="55" spans="1:5">
      <c r="A55" t="s">
        <v>381</v>
      </c>
      <c r="B55" t="s">
        <v>382</v>
      </c>
      <c r="C55" s="4">
        <v>4100</v>
      </c>
      <c r="D55" s="4">
        <f t="shared" si="0"/>
        <v>0.88731707317073172</v>
      </c>
      <c r="E55">
        <v>3</v>
      </c>
    </row>
    <row r="56" spans="1:5">
      <c r="A56" t="s">
        <v>383</v>
      </c>
      <c r="B56" t="s">
        <v>384</v>
      </c>
      <c r="C56" s="4">
        <v>1</v>
      </c>
      <c r="D56" s="4">
        <f t="shared" si="0"/>
        <v>3638</v>
      </c>
      <c r="E56">
        <v>3</v>
      </c>
    </row>
    <row r="57" spans="1:5">
      <c r="A57" t="s">
        <v>385</v>
      </c>
      <c r="B57" t="s">
        <v>386</v>
      </c>
      <c r="C57" s="4">
        <v>0.33</v>
      </c>
      <c r="D57" s="4">
        <f t="shared" si="0"/>
        <v>11024.242424242424</v>
      </c>
      <c r="E57">
        <v>3</v>
      </c>
    </row>
    <row r="58" spans="1:5">
      <c r="A58" s="145" t="s">
        <v>387</v>
      </c>
      <c r="B58" s="145" t="s">
        <v>388</v>
      </c>
      <c r="C58" s="4">
        <v>10.7</v>
      </c>
      <c r="D58" s="146">
        <f t="shared" si="0"/>
        <v>340</v>
      </c>
      <c r="E58">
        <v>3</v>
      </c>
    </row>
    <row r="59" spans="1:5">
      <c r="A59" t="s">
        <v>412</v>
      </c>
      <c r="B59" t="s">
        <v>413</v>
      </c>
      <c r="C59" s="4">
        <v>2</v>
      </c>
      <c r="D59" s="4">
        <f>4780/C59*1.4</f>
        <v>3346</v>
      </c>
      <c r="E59">
        <v>3</v>
      </c>
    </row>
    <row r="60" spans="1:5">
      <c r="A60" t="s">
        <v>389</v>
      </c>
      <c r="B60" t="s">
        <v>390</v>
      </c>
      <c r="C60" s="4">
        <v>107</v>
      </c>
      <c r="D60" s="4">
        <f t="shared" si="0"/>
        <v>34</v>
      </c>
      <c r="E60">
        <v>3</v>
      </c>
    </row>
    <row r="61" spans="1:5">
      <c r="A61" t="s">
        <v>391</v>
      </c>
      <c r="B61" t="s">
        <v>392</v>
      </c>
      <c r="C61" s="4">
        <v>22</v>
      </c>
      <c r="D61" s="4">
        <f t="shared" si="0"/>
        <v>165.36363636363637</v>
      </c>
      <c r="E61">
        <v>3</v>
      </c>
    </row>
    <row r="62" spans="1:5">
      <c r="A62" t="s">
        <v>393</v>
      </c>
      <c r="B62" t="s">
        <v>394</v>
      </c>
      <c r="C62" s="4">
        <v>2.2000000000000002</v>
      </c>
      <c r="D62" s="4">
        <f t="shared" si="0"/>
        <v>1653.6363636363635</v>
      </c>
      <c r="E62">
        <v>3</v>
      </c>
    </row>
    <row r="63" spans="1:5">
      <c r="A63" t="s">
        <v>262</v>
      </c>
      <c r="B63" t="s">
        <v>410</v>
      </c>
      <c r="C63" s="4">
        <v>71</v>
      </c>
      <c r="D63" s="4">
        <f>44.2/C63*52</f>
        <v>32.371830985915494</v>
      </c>
      <c r="E63">
        <v>3</v>
      </c>
    </row>
    <row r="64" spans="1:5">
      <c r="A64" t="s">
        <v>395</v>
      </c>
      <c r="B64" t="s">
        <v>396</v>
      </c>
      <c r="C64" s="4">
        <v>190</v>
      </c>
      <c r="D64" s="4">
        <f t="shared" si="0"/>
        <v>19.147368421052633</v>
      </c>
      <c r="E64">
        <v>3</v>
      </c>
    </row>
    <row r="66" spans="1:5">
      <c r="A66" t="s">
        <v>338</v>
      </c>
      <c r="B66" s="5" t="s">
        <v>339</v>
      </c>
      <c r="C66">
        <v>0.18</v>
      </c>
      <c r="D66">
        <v>0.1</v>
      </c>
      <c r="E66">
        <v>10</v>
      </c>
    </row>
    <row r="67" spans="1:5">
      <c r="A67" t="s">
        <v>416</v>
      </c>
      <c r="B67" s="5" t="s">
        <v>567</v>
      </c>
      <c r="C67">
        <v>4.4400000000000004</v>
      </c>
      <c r="D67">
        <v>0.05</v>
      </c>
      <c r="E67">
        <v>10</v>
      </c>
    </row>
    <row r="68" spans="1:5">
      <c r="A68" t="s">
        <v>417</v>
      </c>
      <c r="B68" s="5" t="s">
        <v>559</v>
      </c>
      <c r="C68">
        <v>67.3</v>
      </c>
      <c r="D68">
        <v>0</v>
      </c>
      <c r="E68">
        <v>1</v>
      </c>
    </row>
    <row r="69" spans="1:5">
      <c r="A69" t="s">
        <v>418</v>
      </c>
      <c r="B69" s="5" t="s">
        <v>560</v>
      </c>
      <c r="C69" s="1">
        <v>108000</v>
      </c>
      <c r="D69">
        <v>0</v>
      </c>
      <c r="E69">
        <v>1</v>
      </c>
    </row>
    <row r="70" spans="1:5">
      <c r="A70" t="s">
        <v>419</v>
      </c>
      <c r="B70" s="5" t="s">
        <v>561</v>
      </c>
      <c r="C70" s="1">
        <v>10800</v>
      </c>
      <c r="D70">
        <v>0</v>
      </c>
      <c r="E70">
        <v>1</v>
      </c>
    </row>
    <row r="71" spans="1:5">
      <c r="A71" t="s">
        <v>420</v>
      </c>
      <c r="B71" s="5" t="s">
        <v>562</v>
      </c>
      <c r="C71" s="1">
        <v>399</v>
      </c>
      <c r="D71">
        <v>0.01</v>
      </c>
      <c r="E71">
        <v>10</v>
      </c>
    </row>
    <row r="72" spans="1:5">
      <c r="A72" t="s">
        <v>421</v>
      </c>
      <c r="B72" s="5" t="s">
        <v>563</v>
      </c>
      <c r="C72" s="1">
        <v>1290</v>
      </c>
      <c r="D72">
        <v>0</v>
      </c>
      <c r="E72">
        <v>1</v>
      </c>
    </row>
    <row r="73" spans="1:5">
      <c r="A73" t="s">
        <v>422</v>
      </c>
      <c r="B73" s="5" t="s">
        <v>564</v>
      </c>
      <c r="C73" s="1">
        <v>905</v>
      </c>
      <c r="D73">
        <v>0.1</v>
      </c>
      <c r="E73">
        <v>5</v>
      </c>
    </row>
    <row r="74" spans="1:5">
      <c r="A74" t="s">
        <v>331</v>
      </c>
      <c r="B74" s="5" t="s">
        <v>565</v>
      </c>
      <c r="D74">
        <v>0</v>
      </c>
      <c r="E74">
        <v>1</v>
      </c>
    </row>
    <row r="75" spans="1:5">
      <c r="A75" t="s">
        <v>423</v>
      </c>
      <c r="B75" s="5" t="s">
        <v>566</v>
      </c>
      <c r="C75" s="1">
        <v>19400</v>
      </c>
      <c r="D75">
        <v>0</v>
      </c>
      <c r="E75">
        <v>1</v>
      </c>
    </row>
    <row r="77" spans="1:5">
      <c r="A77" t="s">
        <v>424</v>
      </c>
      <c r="B77" s="5" t="s">
        <v>568</v>
      </c>
      <c r="D77">
        <v>0</v>
      </c>
      <c r="E77">
        <v>1</v>
      </c>
    </row>
    <row r="78" spans="1:5">
      <c r="A78" t="s">
        <v>425</v>
      </c>
      <c r="B78" s="5" t="s">
        <v>569</v>
      </c>
      <c r="D78">
        <v>0</v>
      </c>
      <c r="E78">
        <v>1</v>
      </c>
    </row>
    <row r="79" spans="1:5">
      <c r="A79" t="s">
        <v>426</v>
      </c>
      <c r="B79" s="5" t="s">
        <v>570</v>
      </c>
      <c r="D79">
        <v>0</v>
      </c>
      <c r="E79">
        <v>1</v>
      </c>
    </row>
    <row r="80" spans="1:5">
      <c r="A80" t="s">
        <v>427</v>
      </c>
      <c r="B80" s="5" t="s">
        <v>571</v>
      </c>
      <c r="D80">
        <v>0</v>
      </c>
      <c r="E80">
        <v>1</v>
      </c>
    </row>
    <row r="81" spans="1:5">
      <c r="A81" t="s">
        <v>428</v>
      </c>
      <c r="B81" s="5" t="s">
        <v>572</v>
      </c>
      <c r="D81">
        <v>0</v>
      </c>
      <c r="E81">
        <v>1</v>
      </c>
    </row>
  </sheetData>
  <phoneticPr fontId="0" type="noConversion"/>
  <pageMargins left="0.75" right="0.75" top="1" bottom="1" header="0.5" footer="0.5"/>
  <pageSetup paperSize="9" orientation="portrait"/>
  <headerFooter alignWithMargins="0"/>
  <drawing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53"/>
  <sheetViews>
    <sheetView workbookViewId="0">
      <pane xSplit="1" ySplit="1" topLeftCell="B2" activePane="bottomRight" state="frozenSplit"/>
      <selection activeCell="L190" sqref="L190"/>
      <selection pane="topRight" activeCell="L190" sqref="L190"/>
      <selection pane="bottomLeft" activeCell="L190" sqref="L190"/>
      <selection pane="bottomRight" activeCell="L52" sqref="L52"/>
    </sheetView>
  </sheetViews>
  <sheetFormatPr defaultColWidth="8.85546875" defaultRowHeight="12.75"/>
  <cols>
    <col min="1" max="1" width="18.85546875" style="62" customWidth="1"/>
    <col min="2" max="2" width="21.140625" style="62" customWidth="1"/>
    <col min="3" max="3" width="12.42578125" style="62" customWidth="1"/>
    <col min="4" max="4" width="15.85546875" style="62" customWidth="1"/>
    <col min="5" max="5" width="12.42578125" style="62" customWidth="1"/>
    <col min="6" max="6" width="11" style="62" customWidth="1"/>
    <col min="7" max="7" width="12" style="62" customWidth="1"/>
    <col min="8" max="8" width="11.140625" style="62" customWidth="1"/>
    <col min="9" max="9" width="13.42578125" style="62" customWidth="1"/>
    <col min="10" max="10" width="14.42578125" style="62" customWidth="1"/>
    <col min="11" max="11" width="10.42578125" style="62" customWidth="1"/>
    <col min="12" max="12" width="11.42578125" style="62" customWidth="1"/>
    <col min="13" max="16384" width="8.85546875" style="62"/>
  </cols>
  <sheetData>
    <row r="1" spans="1:12" ht="51">
      <c r="A1" s="61" t="s">
        <v>499</v>
      </c>
      <c r="B1" s="62" t="s">
        <v>0</v>
      </c>
      <c r="C1" s="73" t="s">
        <v>293</v>
      </c>
      <c r="D1" s="62" t="s">
        <v>1</v>
      </c>
      <c r="E1" s="91" t="s">
        <v>1855</v>
      </c>
      <c r="F1" s="91" t="s">
        <v>1856</v>
      </c>
      <c r="G1" s="74" t="s">
        <v>1534</v>
      </c>
      <c r="H1" s="61" t="s">
        <v>501</v>
      </c>
      <c r="I1" s="61" t="s">
        <v>502</v>
      </c>
      <c r="J1" s="61" t="s">
        <v>528</v>
      </c>
      <c r="K1" s="61" t="s">
        <v>1391</v>
      </c>
      <c r="L1" s="194" t="s">
        <v>504</v>
      </c>
    </row>
    <row r="3" spans="1:12">
      <c r="A3" s="62" t="s">
        <v>1383</v>
      </c>
      <c r="B3" s="62" t="s">
        <v>171</v>
      </c>
      <c r="C3" s="73" t="s">
        <v>7</v>
      </c>
      <c r="D3" s="73" t="s">
        <v>1382</v>
      </c>
      <c r="E3" s="63">
        <f xml:space="preserve"> (0.21*0.36+0.167*0.044)*1000*5988250</f>
        <v>496713360.99999994</v>
      </c>
      <c r="F3" s="62">
        <v>2</v>
      </c>
      <c r="G3" s="63">
        <f>0.000000000000189</f>
        <v>1.89E-13</v>
      </c>
      <c r="H3" s="62">
        <v>4</v>
      </c>
      <c r="I3" s="64">
        <f>E3*G3</f>
        <v>9.3878825228999987E-5</v>
      </c>
      <c r="K3" s="64">
        <f>I3*fishandmeatvalue</f>
        <v>1.9714553298089997E-4</v>
      </c>
    </row>
    <row r="4" spans="1:12">
      <c r="A4" s="62" t="s">
        <v>1383</v>
      </c>
      <c r="B4" s="62" t="s">
        <v>174</v>
      </c>
      <c r="C4" s="73" t="s">
        <v>167</v>
      </c>
      <c r="D4" s="73" t="s">
        <v>1393</v>
      </c>
      <c r="E4" s="62">
        <v>7.0000000000000001E-3</v>
      </c>
      <c r="F4" s="62">
        <v>3</v>
      </c>
      <c r="G4" s="63">
        <f>0.000000000000189</f>
        <v>1.89E-13</v>
      </c>
      <c r="H4" s="62">
        <v>4</v>
      </c>
      <c r="I4" s="64">
        <f>E4*G4</f>
        <v>1.323E-15</v>
      </c>
      <c r="K4" s="64">
        <f>I4*speciesvalue</f>
        <v>7.4087999999999999E-5</v>
      </c>
    </row>
    <row r="5" spans="1:12">
      <c r="A5" s="192" t="s">
        <v>1383</v>
      </c>
      <c r="B5" s="62" t="s">
        <v>159</v>
      </c>
      <c r="C5" s="73"/>
      <c r="D5" s="62" t="s">
        <v>159</v>
      </c>
      <c r="L5" s="204">
        <f>K3+K4</f>
        <v>2.7123353298089998E-4</v>
      </c>
    </row>
    <row r="6" spans="1:12">
      <c r="C6" s="73"/>
      <c r="D6" s="73"/>
      <c r="E6" s="63"/>
      <c r="L6" s="195"/>
    </row>
    <row r="7" spans="1:12">
      <c r="A7" s="62" t="s">
        <v>1384</v>
      </c>
      <c r="B7" s="62" t="s">
        <v>171</v>
      </c>
      <c r="C7" s="73" t="s">
        <v>7</v>
      </c>
      <c r="D7" s="73" t="s">
        <v>1382</v>
      </c>
      <c r="E7" s="42">
        <v>245000000</v>
      </c>
      <c r="F7" s="67">
        <v>3</v>
      </c>
      <c r="G7" s="63">
        <f>G3*0.5</f>
        <v>9.4500000000000001E-14</v>
      </c>
      <c r="H7" s="62">
        <v>5</v>
      </c>
      <c r="I7" s="64">
        <f>E7*G7</f>
        <v>2.3152499999999999E-5</v>
      </c>
      <c r="K7" s="64">
        <f>I7*fishandmeatvalue</f>
        <v>4.8620250000000003E-5</v>
      </c>
      <c r="L7" s="195"/>
    </row>
    <row r="8" spans="1:12">
      <c r="A8" s="62" t="s">
        <v>1384</v>
      </c>
      <c r="B8" s="62" t="s">
        <v>174</v>
      </c>
      <c r="C8" s="73" t="s">
        <v>167</v>
      </c>
      <c r="D8" s="62" t="s">
        <v>292</v>
      </c>
      <c r="E8" s="65">
        <f>0.0007</f>
        <v>6.9999999999999999E-4</v>
      </c>
      <c r="F8" s="62">
        <v>3</v>
      </c>
      <c r="G8" s="63">
        <f>G4*0.5</f>
        <v>9.4500000000000001E-14</v>
      </c>
      <c r="H8" s="62">
        <v>5</v>
      </c>
      <c r="I8" s="64">
        <f>E8*G8</f>
        <v>6.615E-17</v>
      </c>
      <c r="K8" s="64">
        <f>I8*speciesvalue</f>
        <v>3.7044000000000001E-6</v>
      </c>
      <c r="L8" s="195"/>
    </row>
    <row r="9" spans="1:12">
      <c r="A9" s="192" t="s">
        <v>1384</v>
      </c>
      <c r="B9" s="62" t="s">
        <v>159</v>
      </c>
      <c r="C9" s="73"/>
      <c r="D9" s="62" t="s">
        <v>159</v>
      </c>
      <c r="E9" s="63"/>
      <c r="L9" s="204">
        <f>K7+K8</f>
        <v>5.2324650000000001E-5</v>
      </c>
    </row>
    <row r="10" spans="1:12">
      <c r="C10" s="73"/>
      <c r="D10" s="73"/>
      <c r="E10" s="63"/>
      <c r="L10" s="195"/>
    </row>
    <row r="11" spans="1:12">
      <c r="A11" s="62" t="s">
        <v>1385</v>
      </c>
      <c r="B11" s="62" t="s">
        <v>171</v>
      </c>
      <c r="C11" s="73" t="s">
        <v>7</v>
      </c>
      <c r="D11" s="73" t="s">
        <v>1382</v>
      </c>
      <c r="E11" s="42">
        <f>E3</f>
        <v>496713360.99999994</v>
      </c>
      <c r="F11" s="67">
        <f>F3</f>
        <v>2</v>
      </c>
      <c r="G11" s="63">
        <f>3.46/26.14*G3</f>
        <v>2.50168324407039E-14</v>
      </c>
      <c r="H11" s="67">
        <f>H3</f>
        <v>4</v>
      </c>
      <c r="I11" s="64">
        <f>E11*G11</f>
        <v>1.2426194923195866E-5</v>
      </c>
      <c r="K11" s="64">
        <f>I11*fishandmeatvalue</f>
        <v>2.6095009338711319E-5</v>
      </c>
      <c r="L11" s="195"/>
    </row>
    <row r="12" spans="1:12">
      <c r="A12" s="62" t="s">
        <v>1385</v>
      </c>
      <c r="B12" s="62" t="s">
        <v>174</v>
      </c>
      <c r="C12" s="73" t="s">
        <v>167</v>
      </c>
      <c r="D12" s="73" t="s">
        <v>1393</v>
      </c>
      <c r="E12" s="67">
        <f>E4</f>
        <v>7.0000000000000001E-3</v>
      </c>
      <c r="F12" s="67">
        <f>F4</f>
        <v>3</v>
      </c>
      <c r="G12" s="63">
        <f>3.46/26.14*G4</f>
        <v>2.50168324407039E-14</v>
      </c>
      <c r="H12" s="67">
        <f>H4</f>
        <v>4</v>
      </c>
      <c r="I12" s="64">
        <f>E12*G12</f>
        <v>1.751178270849273E-16</v>
      </c>
      <c r="K12" s="64">
        <f>I12*speciesvalue</f>
        <v>9.8065983167559291E-6</v>
      </c>
      <c r="L12" s="195"/>
    </row>
    <row r="13" spans="1:12">
      <c r="A13" s="192" t="s">
        <v>1385</v>
      </c>
      <c r="B13" s="62" t="s">
        <v>159</v>
      </c>
      <c r="C13" s="73"/>
      <c r="D13" s="62" t="s">
        <v>159</v>
      </c>
      <c r="L13" s="204">
        <f>K11+K12</f>
        <v>3.5901607655467252E-5</v>
      </c>
    </row>
    <row r="14" spans="1:12">
      <c r="C14" s="73"/>
      <c r="D14" s="73"/>
      <c r="L14" s="195"/>
    </row>
    <row r="15" spans="1:12">
      <c r="A15" s="62" t="s">
        <v>1386</v>
      </c>
      <c r="B15" s="62" t="s">
        <v>171</v>
      </c>
      <c r="C15" s="73" t="s">
        <v>7</v>
      </c>
      <c r="D15" s="73" t="s">
        <v>1382</v>
      </c>
      <c r="E15" s="42">
        <f>E7</f>
        <v>245000000</v>
      </c>
      <c r="F15" s="67">
        <f>F7</f>
        <v>3</v>
      </c>
      <c r="G15" s="63">
        <f>3.46/26.14*G7</f>
        <v>1.250841622035195E-14</v>
      </c>
      <c r="H15" s="67">
        <f>H7</f>
        <v>5</v>
      </c>
      <c r="I15" s="64">
        <f>E15*G15</f>
        <v>3.0645619739862279E-6</v>
      </c>
      <c r="K15" s="64">
        <f>I15*fishandmeatvalue</f>
        <v>6.4355801453710785E-6</v>
      </c>
      <c r="L15" s="195"/>
    </row>
    <row r="16" spans="1:12">
      <c r="A16" s="62" t="s">
        <v>1386</v>
      </c>
      <c r="B16" s="62" t="s">
        <v>174</v>
      </c>
      <c r="C16" s="73" t="s">
        <v>167</v>
      </c>
      <c r="D16" s="73" t="s">
        <v>1393</v>
      </c>
      <c r="E16" s="67">
        <f>E8</f>
        <v>6.9999999999999999E-4</v>
      </c>
      <c r="F16" s="67">
        <f>F8</f>
        <v>3</v>
      </c>
      <c r="G16" s="63">
        <f>3.46/26.14*G8</f>
        <v>1.250841622035195E-14</v>
      </c>
      <c r="H16" s="67">
        <f>H8</f>
        <v>5</v>
      </c>
      <c r="I16" s="64">
        <f>E16*G16</f>
        <v>8.7558913542463645E-18</v>
      </c>
      <c r="K16" s="64">
        <f>I16*speciesvalue</f>
        <v>4.9032991583779646E-7</v>
      </c>
      <c r="L16" s="195"/>
    </row>
    <row r="17" spans="1:12">
      <c r="A17" s="192" t="s">
        <v>1386</v>
      </c>
      <c r="B17" s="62" t="s">
        <v>159</v>
      </c>
      <c r="C17" s="73"/>
      <c r="D17" s="62" t="s">
        <v>159</v>
      </c>
      <c r="J17" s="63"/>
      <c r="L17" s="204">
        <f>K15+K16</f>
        <v>6.9259100612088749E-6</v>
      </c>
    </row>
    <row r="18" spans="1:12">
      <c r="L18" s="195"/>
    </row>
    <row r="19" spans="1:12">
      <c r="A19" s="62" t="s">
        <v>1387</v>
      </c>
      <c r="B19" s="62" t="s">
        <v>171</v>
      </c>
      <c r="C19" s="73" t="s">
        <v>7</v>
      </c>
      <c r="D19" s="62" t="s">
        <v>1392</v>
      </c>
      <c r="E19" s="42">
        <f>E3</f>
        <v>496713360.99999994</v>
      </c>
      <c r="F19" s="67">
        <f>F3</f>
        <v>2</v>
      </c>
      <c r="G19" s="63">
        <f xml:space="preserve"> 0.4/(48300000000+830000000)</f>
        <v>8.1416649704864643E-12</v>
      </c>
      <c r="H19" s="62">
        <v>4</v>
      </c>
      <c r="I19" s="64">
        <f>E19*G19</f>
        <v>4.0440737716262972E-3</v>
      </c>
      <c r="K19" s="64">
        <f>I19*fishandmeatvalue</f>
        <v>8.4925549204152243E-3</v>
      </c>
      <c r="L19" s="195"/>
    </row>
    <row r="20" spans="1:12">
      <c r="A20" s="62" t="s">
        <v>1387</v>
      </c>
      <c r="B20" s="62" t="s">
        <v>171</v>
      </c>
      <c r="C20" s="73" t="s">
        <v>7</v>
      </c>
      <c r="D20" s="62" t="s">
        <v>663</v>
      </c>
      <c r="E20" s="42">
        <v>-123333333.33333334</v>
      </c>
      <c r="F20" s="67">
        <v>3</v>
      </c>
      <c r="G20" s="42">
        <f>G19</f>
        <v>8.1416649704864643E-12</v>
      </c>
      <c r="H20" s="62">
        <v>2</v>
      </c>
      <c r="I20" s="64">
        <f>E20*G20</f>
        <v>-1.0041386796933306E-3</v>
      </c>
      <c r="K20" s="64">
        <f>I20*fishandmeatvalue</f>
        <v>-2.1086912273559945E-3</v>
      </c>
      <c r="L20" s="195"/>
    </row>
    <row r="21" spans="1:12">
      <c r="A21" s="62" t="s">
        <v>1387</v>
      </c>
      <c r="B21" s="62" t="s">
        <v>174</v>
      </c>
      <c r="C21" s="73" t="s">
        <v>167</v>
      </c>
      <c r="D21" s="73" t="s">
        <v>1393</v>
      </c>
      <c r="E21" s="67">
        <f>E4</f>
        <v>7.0000000000000001E-3</v>
      </c>
      <c r="F21" s="67">
        <f>F4</f>
        <v>3</v>
      </c>
      <c r="G21" s="42">
        <f>G20</f>
        <v>8.1416649704864643E-12</v>
      </c>
      <c r="H21" s="62">
        <v>4</v>
      </c>
      <c r="I21" s="64">
        <f>E21*G21</f>
        <v>5.6991654793405246E-14</v>
      </c>
      <c r="K21" s="64">
        <f>I21*speciesvalue</f>
        <v>3.191532668430694E-3</v>
      </c>
      <c r="L21" s="195"/>
    </row>
    <row r="22" spans="1:12">
      <c r="A22" s="192" t="s">
        <v>1387</v>
      </c>
      <c r="B22" s="62" t="s">
        <v>159</v>
      </c>
      <c r="D22" s="62" t="s">
        <v>159</v>
      </c>
      <c r="L22" s="204">
        <f>K19+K20+K21</f>
        <v>9.5753963614899247E-3</v>
      </c>
    </row>
    <row r="24" spans="1:12">
      <c r="A24" s="62" t="s">
        <v>1388</v>
      </c>
      <c r="B24" s="62" t="s">
        <v>171</v>
      </c>
      <c r="C24" s="73" t="s">
        <v>7</v>
      </c>
      <c r="D24" s="62" t="s">
        <v>292</v>
      </c>
      <c r="E24" s="42">
        <f>E7</f>
        <v>245000000</v>
      </c>
      <c r="F24" s="67">
        <f>F7</f>
        <v>3</v>
      </c>
      <c r="G24" s="63">
        <f xml:space="preserve"> 1/(48300000000+830000000)</f>
        <v>2.035416242621616E-11</v>
      </c>
      <c r="H24" s="62">
        <v>4</v>
      </c>
      <c r="I24" s="64">
        <f>E24*G24</f>
        <v>4.9867697944229591E-3</v>
      </c>
      <c r="K24" s="64">
        <f>I24*fishandmeatvalue</f>
        <v>1.0472216568288215E-2</v>
      </c>
    </row>
    <row r="25" spans="1:12">
      <c r="A25" s="62" t="s">
        <v>1388</v>
      </c>
      <c r="B25" s="62" t="s">
        <v>171</v>
      </c>
      <c r="C25" s="73" t="s">
        <v>7</v>
      </c>
      <c r="D25" s="62" t="s">
        <v>663</v>
      </c>
      <c r="E25" s="42">
        <f>E20</f>
        <v>-123333333.33333334</v>
      </c>
      <c r="F25" s="67">
        <f>F20</f>
        <v>3</v>
      </c>
      <c r="G25" s="42">
        <f>G24</f>
        <v>2.035416242621616E-11</v>
      </c>
      <c r="H25" s="62">
        <v>2</v>
      </c>
      <c r="I25" s="64">
        <f>E25*G25</f>
        <v>-2.5103466992333267E-3</v>
      </c>
      <c r="K25" s="64">
        <f>I25*fishandmeatvalue</f>
        <v>-5.2717280683899862E-3</v>
      </c>
    </row>
    <row r="26" spans="1:12">
      <c r="A26" s="62" t="s">
        <v>1388</v>
      </c>
      <c r="B26" s="62" t="s">
        <v>174</v>
      </c>
      <c r="C26" s="73" t="s">
        <v>167</v>
      </c>
      <c r="D26" s="73" t="s">
        <v>1393</v>
      </c>
      <c r="E26" s="67">
        <f>E4</f>
        <v>7.0000000000000001E-3</v>
      </c>
      <c r="F26" s="67">
        <f>F4</f>
        <v>3</v>
      </c>
      <c r="G26" s="42">
        <f>G24</f>
        <v>2.035416242621616E-11</v>
      </c>
      <c r="H26" s="62">
        <v>4</v>
      </c>
      <c r="I26" s="64">
        <f>E26*G26</f>
        <v>1.4247913698351312E-13</v>
      </c>
      <c r="K26" s="64">
        <f>I26*speciesvalue</f>
        <v>7.9788316710767346E-3</v>
      </c>
    </row>
    <row r="27" spans="1:12">
      <c r="A27" s="192" t="s">
        <v>1388</v>
      </c>
      <c r="B27" s="62" t="s">
        <v>159</v>
      </c>
      <c r="D27" s="62" t="s">
        <v>159</v>
      </c>
      <c r="L27" s="204">
        <f>K24+K25+K26</f>
        <v>1.3179320170974963E-2</v>
      </c>
    </row>
    <row r="28" spans="1:12">
      <c r="J28" s="66"/>
    </row>
    <row r="29" spans="1:12">
      <c r="A29" s="62" t="s">
        <v>1389</v>
      </c>
      <c r="B29" s="62" t="s">
        <v>171</v>
      </c>
      <c r="C29" s="73" t="s">
        <v>7</v>
      </c>
      <c r="D29" s="73" t="s">
        <v>1382</v>
      </c>
      <c r="E29" s="42">
        <f>E3</f>
        <v>496713360.99999994</v>
      </c>
      <c r="F29" s="67">
        <f>F3</f>
        <v>2</v>
      </c>
      <c r="G29" s="63">
        <v>2.6200000000000001E-11</v>
      </c>
      <c r="H29" s="62">
        <v>4</v>
      </c>
      <c r="I29" s="64">
        <f>E29*G29</f>
        <v>1.3013890058199999E-2</v>
      </c>
      <c r="K29" s="64">
        <f>I29*fishandmeatvalue</f>
        <v>2.7329169122219998E-2</v>
      </c>
    </row>
    <row r="30" spans="1:12">
      <c r="A30" s="62" t="s">
        <v>1389</v>
      </c>
      <c r="B30" s="62" t="s">
        <v>174</v>
      </c>
      <c r="C30" s="73" t="s">
        <v>167</v>
      </c>
      <c r="D30" s="73" t="s">
        <v>1393</v>
      </c>
      <c r="E30" s="67">
        <f>E4</f>
        <v>7.0000000000000001E-3</v>
      </c>
      <c r="F30" s="67">
        <f>F4</f>
        <v>3</v>
      </c>
      <c r="G30" s="63">
        <v>2.6200000000000001E-11</v>
      </c>
      <c r="H30" s="62">
        <v>4</v>
      </c>
      <c r="I30" s="64">
        <f>E30*G30</f>
        <v>1.8340000000000001E-13</v>
      </c>
      <c r="K30" s="64">
        <f>I30*speciesvalue</f>
        <v>1.0270400000000001E-2</v>
      </c>
    </row>
    <row r="31" spans="1:12">
      <c r="A31" s="62" t="s">
        <v>1389</v>
      </c>
      <c r="B31" s="62" t="s">
        <v>159</v>
      </c>
      <c r="D31" s="62" t="s">
        <v>159</v>
      </c>
      <c r="L31" s="64">
        <f>K29+K30</f>
        <v>3.7599569122219997E-2</v>
      </c>
    </row>
    <row r="33" spans="1:12">
      <c r="A33" s="62" t="s">
        <v>1390</v>
      </c>
      <c r="B33" s="62" t="s">
        <v>171</v>
      </c>
      <c r="C33" s="73" t="s">
        <v>7</v>
      </c>
      <c r="D33" s="62" t="s">
        <v>292</v>
      </c>
      <c r="E33" s="62">
        <v>0</v>
      </c>
      <c r="F33" s="62">
        <v>1</v>
      </c>
      <c r="G33" s="62">
        <v>0</v>
      </c>
      <c r="H33" s="62">
        <v>1</v>
      </c>
      <c r="I33" s="64">
        <f>E33*G33</f>
        <v>0</v>
      </c>
      <c r="K33" s="64">
        <f>I33*fishandmeatvalue</f>
        <v>0</v>
      </c>
    </row>
    <row r="34" spans="1:12">
      <c r="A34" s="62" t="s">
        <v>1390</v>
      </c>
      <c r="B34" s="62" t="s">
        <v>174</v>
      </c>
      <c r="C34" s="73" t="s">
        <v>167</v>
      </c>
      <c r="D34" s="62" t="s">
        <v>292</v>
      </c>
      <c r="E34" s="62">
        <v>0</v>
      </c>
      <c r="F34" s="62">
        <v>1</v>
      </c>
      <c r="G34" s="62">
        <v>0</v>
      </c>
      <c r="H34" s="62">
        <v>1</v>
      </c>
      <c r="I34" s="64">
        <f>E34*G34</f>
        <v>0</v>
      </c>
      <c r="K34" s="64">
        <f>I34*speciesvalue</f>
        <v>0</v>
      </c>
    </row>
    <row r="35" spans="1:12">
      <c r="A35" s="62" t="s">
        <v>1390</v>
      </c>
      <c r="B35" s="62" t="s">
        <v>159</v>
      </c>
      <c r="D35" s="62" t="s">
        <v>159</v>
      </c>
      <c r="L35" s="64">
        <f>K33+K34</f>
        <v>0</v>
      </c>
    </row>
    <row r="37" spans="1:12">
      <c r="A37" s="62" t="s">
        <v>1535</v>
      </c>
      <c r="B37" s="62" t="s">
        <v>4</v>
      </c>
      <c r="C37" s="73" t="s">
        <v>5</v>
      </c>
      <c r="D37" s="73" t="s">
        <v>1536</v>
      </c>
      <c r="E37" s="71">
        <v>2.9032258064516134E-9</v>
      </c>
      <c r="F37" s="62">
        <v>4</v>
      </c>
      <c r="G37" s="62">
        <v>1</v>
      </c>
      <c r="H37" s="62">
        <v>1</v>
      </c>
      <c r="I37" s="64">
        <f>E37*G37</f>
        <v>2.9032258064516134E-9</v>
      </c>
      <c r="K37" s="64">
        <f>I37*YOLLvalue</f>
        <v>1.4516129032258066E-4</v>
      </c>
    </row>
    <row r="38" spans="1:12">
      <c r="A38" s="62" t="s">
        <v>1535</v>
      </c>
      <c r="B38" s="62" t="s">
        <v>4</v>
      </c>
      <c r="C38" s="73" t="s">
        <v>5</v>
      </c>
      <c r="D38" s="73" t="s">
        <v>1537</v>
      </c>
      <c r="E38" s="71">
        <f>0.00025*0.00875*5</f>
        <v>1.0937500000000002E-5</v>
      </c>
      <c r="F38" s="62">
        <v>4</v>
      </c>
      <c r="G38" s="62">
        <v>1</v>
      </c>
      <c r="H38" s="62">
        <v>1</v>
      </c>
      <c r="I38" s="64">
        <f>E38*G38</f>
        <v>1.0937500000000002E-5</v>
      </c>
      <c r="K38" s="64">
        <f>I38*YOLLvalue</f>
        <v>0.54687500000000011</v>
      </c>
    </row>
    <row r="39" spans="1:12">
      <c r="A39" s="62" t="s">
        <v>1535</v>
      </c>
      <c r="B39" s="62" t="s">
        <v>4</v>
      </c>
      <c r="C39" s="73" t="s">
        <v>5</v>
      </c>
      <c r="D39" s="73" t="s">
        <v>1538</v>
      </c>
      <c r="E39" s="71">
        <f>0.00857*0.0000000168*7.4*0.00518</f>
        <v>5.5188880319999992E-12</v>
      </c>
      <c r="F39" s="62">
        <v>4</v>
      </c>
      <c r="G39" s="62">
        <v>1</v>
      </c>
      <c r="H39" s="62">
        <v>1</v>
      </c>
      <c r="I39" s="64">
        <f>E39*G39</f>
        <v>5.5188880319999992E-12</v>
      </c>
      <c r="K39" s="64">
        <f>I39*YOLLvalue</f>
        <v>2.7594440159999997E-7</v>
      </c>
    </row>
    <row r="40" spans="1:12">
      <c r="A40" s="192" t="s">
        <v>1535</v>
      </c>
      <c r="B40" s="73" t="s">
        <v>159</v>
      </c>
      <c r="L40" s="64">
        <f>SUM(K37:K39)</f>
        <v>0.54702043723472427</v>
      </c>
    </row>
    <row r="41" spans="1:12">
      <c r="A41" s="192"/>
      <c r="L41" s="192"/>
    </row>
    <row r="42" spans="1:12">
      <c r="A42" s="192" t="s">
        <v>1539</v>
      </c>
      <c r="B42" s="73" t="s">
        <v>1540</v>
      </c>
      <c r="C42" s="73" t="s">
        <v>5</v>
      </c>
      <c r="D42" s="73" t="s">
        <v>1541</v>
      </c>
      <c r="E42" s="71">
        <f>0.008*0.00875</f>
        <v>7.0000000000000007E-5</v>
      </c>
      <c r="F42" s="62">
        <v>4</v>
      </c>
      <c r="G42" s="62">
        <v>1</v>
      </c>
      <c r="H42" s="62">
        <v>1</v>
      </c>
      <c r="I42" s="64">
        <f>E42*G42</f>
        <v>7.0000000000000007E-5</v>
      </c>
      <c r="K42" s="64">
        <f>I42*osteoporosisvalue</f>
        <v>4.4800000000000004</v>
      </c>
      <c r="L42" s="192"/>
    </row>
    <row r="43" spans="1:12">
      <c r="A43" s="192" t="s">
        <v>1539</v>
      </c>
      <c r="B43" s="73" t="s">
        <v>1542</v>
      </c>
      <c r="C43" s="73" t="s">
        <v>1543</v>
      </c>
      <c r="D43" s="73" t="s">
        <v>1541</v>
      </c>
      <c r="E43" s="71">
        <f>0.0004*0.00875</f>
        <v>3.5000000000000004E-6</v>
      </c>
      <c r="F43" s="62">
        <v>4</v>
      </c>
      <c r="G43" s="62">
        <v>1</v>
      </c>
      <c r="H43" s="62">
        <v>1</v>
      </c>
      <c r="I43" s="64">
        <f>E43*G43</f>
        <v>3.5000000000000004E-6</v>
      </c>
      <c r="K43" s="64">
        <f>I43*renaldysfunctionvalue</f>
        <v>0.11200000000000002</v>
      </c>
      <c r="L43" s="192"/>
    </row>
    <row r="44" spans="1:12">
      <c r="A44" s="192" t="s">
        <v>1539</v>
      </c>
      <c r="B44" s="73" t="s">
        <v>159</v>
      </c>
      <c r="L44" s="64">
        <f>SUM(K42:K43)</f>
        <v>4.5920000000000005</v>
      </c>
    </row>
    <row r="45" spans="1:12">
      <c r="A45" s="192"/>
      <c r="L45" s="192"/>
    </row>
    <row r="46" spans="1:12">
      <c r="A46" s="192" t="s">
        <v>1544</v>
      </c>
      <c r="B46" s="73" t="s">
        <v>1542</v>
      </c>
      <c r="C46" s="73" t="s">
        <v>1543</v>
      </c>
      <c r="D46" s="73" t="s">
        <v>1541</v>
      </c>
      <c r="E46" s="71">
        <f>0.045*0.003*0.00857</f>
        <v>1.15695E-6</v>
      </c>
      <c r="F46" s="62">
        <v>4</v>
      </c>
      <c r="G46" s="62">
        <v>1</v>
      </c>
      <c r="H46" s="62">
        <v>1</v>
      </c>
      <c r="I46" s="64">
        <f>E46*G46</f>
        <v>1.15695E-6</v>
      </c>
      <c r="K46" s="64">
        <f>I46*osteoporosisvalue</f>
        <v>7.4044799999999994E-2</v>
      </c>
      <c r="L46" s="64">
        <f>K46</f>
        <v>7.4044799999999994E-2</v>
      </c>
    </row>
    <row r="47" spans="1:12">
      <c r="A47" s="192"/>
      <c r="L47" s="192"/>
    </row>
    <row r="48" spans="1:12">
      <c r="A48" s="192" t="s">
        <v>1545</v>
      </c>
      <c r="B48" s="73" t="s">
        <v>1542</v>
      </c>
      <c r="C48" s="73" t="s">
        <v>1543</v>
      </c>
      <c r="D48" s="73" t="s">
        <v>1541</v>
      </c>
      <c r="E48" s="73" t="s">
        <v>645</v>
      </c>
      <c r="L48" s="192"/>
    </row>
    <row r="49" spans="1:12">
      <c r="A49" s="192"/>
      <c r="L49" s="192"/>
    </row>
    <row r="50" spans="1:12">
      <c r="A50" s="192" t="s">
        <v>1546</v>
      </c>
      <c r="B50" s="73" t="s">
        <v>1542</v>
      </c>
      <c r="C50" s="73" t="s">
        <v>1543</v>
      </c>
      <c r="D50" s="73" t="s">
        <v>1541</v>
      </c>
      <c r="E50" s="71">
        <f>0.0006*0.00857</f>
        <v>5.1419999999999992E-6</v>
      </c>
      <c r="F50" s="62">
        <v>4</v>
      </c>
      <c r="G50" s="62">
        <v>1</v>
      </c>
      <c r="H50" s="62">
        <v>1</v>
      </c>
      <c r="I50" s="64">
        <f>E50*G50</f>
        <v>5.1419999999999992E-6</v>
      </c>
      <c r="K50" s="64">
        <f>I50*osteoporosisvalue</f>
        <v>0.32908799999999994</v>
      </c>
      <c r="L50" s="64">
        <f>K50</f>
        <v>0.32908799999999994</v>
      </c>
    </row>
    <row r="51" spans="1:12">
      <c r="A51" s="192"/>
      <c r="L51" s="192"/>
    </row>
    <row r="52" spans="1:12">
      <c r="A52" s="193" t="s">
        <v>1547</v>
      </c>
      <c r="B52" s="62" t="s">
        <v>1407</v>
      </c>
      <c r="C52" s="73" t="s">
        <v>5</v>
      </c>
      <c r="D52" s="62" t="s">
        <v>258</v>
      </c>
      <c r="E52" s="63">
        <v>100000</v>
      </c>
      <c r="F52" s="62">
        <v>3</v>
      </c>
      <c r="G52" s="63">
        <f>1/7630000</f>
        <v>1.3106159895150722E-7</v>
      </c>
      <c r="H52" s="62">
        <v>2</v>
      </c>
      <c r="I52" s="64">
        <f>E52*G52</f>
        <v>1.3106159895150722E-2</v>
      </c>
      <c r="J52" s="63"/>
      <c r="K52" s="64">
        <f>I52*Intellectualdisabilityvalue</f>
        <v>20.314547837483619</v>
      </c>
      <c r="L52" s="64">
        <f>K52</f>
        <v>20.314547837483619</v>
      </c>
    </row>
    <row r="53" spans="1:12">
      <c r="L53" s="65"/>
    </row>
  </sheetData>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301"/>
  <sheetViews>
    <sheetView workbookViewId="0">
      <pane xSplit="1" ySplit="1" topLeftCell="B2" activePane="bottomRight" state="frozenSplit"/>
      <selection activeCell="T43" sqref="T43"/>
      <selection pane="topRight" activeCell="T43" sqref="T43"/>
      <selection pane="bottomLeft" activeCell="T43" sqref="T43"/>
      <selection pane="bottomRight" activeCell="N1" sqref="N1"/>
    </sheetView>
  </sheetViews>
  <sheetFormatPr defaultColWidth="11.42578125" defaultRowHeight="12.75"/>
  <cols>
    <col min="1" max="1" width="9.85546875" style="148" customWidth="1"/>
    <col min="2" max="2" width="17.28515625" style="148" customWidth="1"/>
    <col min="3" max="3" width="11.42578125" style="148" customWidth="1"/>
    <col min="4" max="4" width="18.85546875" style="148" bestFit="1" customWidth="1"/>
    <col min="5" max="5" width="10.7109375" style="148" customWidth="1"/>
    <col min="6" max="6" width="12.7109375" style="148" customWidth="1"/>
    <col min="7" max="7" width="13.140625" style="148" customWidth="1"/>
    <col min="8" max="8" width="10.7109375" style="148" customWidth="1"/>
    <col min="9" max="9" width="13.140625" style="148" customWidth="1"/>
    <col min="10" max="10" width="14.42578125" style="148" customWidth="1"/>
    <col min="11" max="11" width="12.42578125" style="156" bestFit="1" customWidth="1"/>
    <col min="12" max="12" width="13.42578125" style="156" customWidth="1"/>
    <col min="13" max="13" width="11.42578125" style="148" customWidth="1"/>
    <col min="14" max="14" width="16.42578125" style="165" customWidth="1"/>
    <col min="15" max="15" width="2" style="148" customWidth="1"/>
    <col min="16" max="16" width="23.28515625" style="148" customWidth="1"/>
    <col min="17" max="16384" width="11.42578125" style="148"/>
  </cols>
  <sheetData>
    <row r="1" spans="1:16" ht="51">
      <c r="A1" s="147" t="s">
        <v>499</v>
      </c>
      <c r="B1" s="148" t="s">
        <v>665</v>
      </c>
      <c r="C1" s="149" t="s">
        <v>293</v>
      </c>
      <c r="D1" s="148" t="s">
        <v>1</v>
      </c>
      <c r="E1" s="150" t="s">
        <v>1851</v>
      </c>
      <c r="F1" s="150" t="s">
        <v>1852</v>
      </c>
      <c r="G1" s="151" t="s">
        <v>1534</v>
      </c>
      <c r="H1" s="147" t="s">
        <v>501</v>
      </c>
      <c r="I1" s="147" t="s">
        <v>502</v>
      </c>
      <c r="J1" s="147" t="s">
        <v>528</v>
      </c>
      <c r="K1" s="152" t="s">
        <v>503</v>
      </c>
      <c r="L1" s="196" t="s">
        <v>504</v>
      </c>
    </row>
    <row r="3" spans="1:16">
      <c r="A3" s="148" t="s">
        <v>157</v>
      </c>
      <c r="B3" s="148" t="s">
        <v>4</v>
      </c>
      <c r="C3" s="149" t="s">
        <v>5</v>
      </c>
      <c r="D3" s="149" t="s">
        <v>156</v>
      </c>
      <c r="E3" s="153">
        <f>88*6787000</f>
        <v>597256000</v>
      </c>
      <c r="F3" s="148">
        <v>2</v>
      </c>
      <c r="G3" s="153">
        <f>1/(3885000000000000/0.88)</f>
        <v>2.2651222651222649E-16</v>
      </c>
      <c r="H3" s="148">
        <v>2.2000000000000002</v>
      </c>
      <c r="I3" s="154">
        <f>E3*G3</f>
        <v>1.3528578635778635E-7</v>
      </c>
      <c r="K3" s="155">
        <f>I3*YOLLvalue</f>
        <v>6.764289317889317E-3</v>
      </c>
      <c r="M3" s="168"/>
      <c r="N3" s="166"/>
      <c r="O3" s="169"/>
      <c r="P3" s="169"/>
    </row>
    <row r="4" spans="1:16">
      <c r="A4" s="148" t="s">
        <v>157</v>
      </c>
      <c r="B4" s="148" t="s">
        <v>4</v>
      </c>
      <c r="C4" s="149" t="s">
        <v>5</v>
      </c>
      <c r="D4" s="149" t="s">
        <v>524</v>
      </c>
      <c r="E4" s="153">
        <v>-5664000</v>
      </c>
      <c r="F4" s="148">
        <v>3</v>
      </c>
      <c r="G4" s="153">
        <f>1/(3885000000000000/0.88)</f>
        <v>2.2651222651222649E-16</v>
      </c>
      <c r="H4" s="148">
        <v>2.2000000000000002</v>
      </c>
      <c r="I4" s="154">
        <f>E4*G4</f>
        <v>-1.2829652509652508E-9</v>
      </c>
      <c r="K4" s="155">
        <f>I4*YOLLvalue</f>
        <v>-6.4148262548262546E-5</v>
      </c>
      <c r="M4" s="169"/>
      <c r="N4" s="166"/>
      <c r="O4" s="169"/>
      <c r="P4" s="169"/>
    </row>
    <row r="5" spans="1:16">
      <c r="A5" s="148" t="s">
        <v>157</v>
      </c>
      <c r="B5" s="148" t="s">
        <v>4</v>
      </c>
      <c r="C5" s="149" t="s">
        <v>5</v>
      </c>
      <c r="D5" s="148" t="s">
        <v>525</v>
      </c>
      <c r="E5" s="153">
        <f>88*25100000</f>
        <v>2208800000</v>
      </c>
      <c r="F5" s="148">
        <v>3</v>
      </c>
      <c r="G5" s="153">
        <f t="shared" ref="G5:G22" si="0">1/(3885000000000000/0.88)</f>
        <v>2.2651222651222649E-16</v>
      </c>
      <c r="H5" s="148">
        <v>2.2000000000000002</v>
      </c>
      <c r="I5" s="154">
        <f>E5*G5</f>
        <v>5.0032020592020582E-7</v>
      </c>
      <c r="K5" s="155">
        <f>I5*YOLLvalue</f>
        <v>2.5016010296010291E-2</v>
      </c>
      <c r="M5" s="169"/>
      <c r="N5" s="166"/>
      <c r="O5" s="169"/>
      <c r="P5" s="169"/>
    </row>
    <row r="6" spans="1:16">
      <c r="A6" s="148" t="s">
        <v>157</v>
      </c>
      <c r="B6" s="148" t="s">
        <v>4</v>
      </c>
      <c r="C6" s="149" t="s">
        <v>5</v>
      </c>
      <c r="D6" s="148" t="s">
        <v>158</v>
      </c>
      <c r="E6" s="153">
        <v>52000000</v>
      </c>
      <c r="F6" s="148">
        <v>3</v>
      </c>
      <c r="G6" s="153">
        <f t="shared" si="0"/>
        <v>2.2651222651222649E-16</v>
      </c>
      <c r="H6" s="148">
        <v>2.2000000000000002</v>
      </c>
      <c r="I6" s="154">
        <f>E6*G6</f>
        <v>1.1778635778635777E-8</v>
      </c>
      <c r="K6" s="155">
        <f>I6*YOLLvalue</f>
        <v>5.8893178893178882E-4</v>
      </c>
      <c r="M6" s="169"/>
      <c r="N6" s="166"/>
      <c r="O6" s="169"/>
      <c r="P6" s="169"/>
    </row>
    <row r="7" spans="1:16">
      <c r="A7" s="149" t="s">
        <v>157</v>
      </c>
      <c r="B7" s="148" t="s">
        <v>4</v>
      </c>
      <c r="C7" s="149" t="s">
        <v>5</v>
      </c>
      <c r="D7" s="149" t="s">
        <v>526</v>
      </c>
      <c r="E7" s="153">
        <f>1400000*0.1*88</f>
        <v>12320000</v>
      </c>
      <c r="F7" s="148">
        <v>3</v>
      </c>
      <c r="G7" s="153">
        <f t="shared" si="0"/>
        <v>2.2651222651222649E-16</v>
      </c>
      <c r="H7" s="148">
        <v>2.2000000000000002</v>
      </c>
      <c r="I7" s="154">
        <f>E7*G7</f>
        <v>2.7906306306306301E-9</v>
      </c>
      <c r="K7" s="155">
        <f>I7*YOLLvalue</f>
        <v>1.3953153153153149E-4</v>
      </c>
      <c r="M7" s="169"/>
      <c r="N7" s="166"/>
      <c r="O7" s="169"/>
      <c r="P7" s="169"/>
    </row>
    <row r="8" spans="1:16">
      <c r="A8" s="148" t="s">
        <v>157</v>
      </c>
      <c r="B8" s="148" t="s">
        <v>4</v>
      </c>
      <c r="C8" s="149" t="s">
        <v>5</v>
      </c>
      <c r="D8" s="149" t="s">
        <v>537</v>
      </c>
      <c r="E8" s="154">
        <f>SUM(E3:E7)</f>
        <v>2864712000</v>
      </c>
      <c r="G8" s="153">
        <f t="shared" si="0"/>
        <v>2.2651222651222649E-16</v>
      </c>
      <c r="H8" s="148">
        <v>2.2000000000000002</v>
      </c>
      <c r="J8" s="154">
        <f>SUM(I3:I7)</f>
        <v>6.4889229343629337E-7</v>
      </c>
      <c r="M8" s="168"/>
      <c r="N8" s="166"/>
      <c r="O8" s="169"/>
      <c r="P8" s="169"/>
    </row>
    <row r="9" spans="1:16">
      <c r="A9" s="148" t="s">
        <v>157</v>
      </c>
      <c r="B9" s="149" t="s">
        <v>519</v>
      </c>
      <c r="C9" s="149" t="s">
        <v>5</v>
      </c>
      <c r="D9" s="149" t="s">
        <v>518</v>
      </c>
      <c r="E9" s="148">
        <f>88*120000000</f>
        <v>10560000000</v>
      </c>
      <c r="F9" s="148">
        <v>2</v>
      </c>
      <c r="G9" s="153">
        <f t="shared" si="0"/>
        <v>2.2651222651222649E-16</v>
      </c>
      <c r="H9" s="148">
        <v>2.2000000000000002</v>
      </c>
      <c r="I9" s="154">
        <f t="shared" ref="I9:I23" si="1">E9*G9</f>
        <v>2.3919691119691116E-6</v>
      </c>
      <c r="J9" s="153"/>
      <c r="K9" s="155">
        <f>I9*malnutrition</f>
        <v>2.2843305019305017E-2</v>
      </c>
      <c r="M9" s="169"/>
      <c r="N9" s="166"/>
      <c r="O9" s="169"/>
      <c r="P9" s="169"/>
    </row>
    <row r="10" spans="1:16">
      <c r="A10" s="148" t="s">
        <v>157</v>
      </c>
      <c r="B10" s="149" t="s">
        <v>661</v>
      </c>
      <c r="C10" s="149" t="s">
        <v>5</v>
      </c>
      <c r="D10" s="149" t="s">
        <v>156</v>
      </c>
      <c r="E10" s="153">
        <f>6000000000*0.65*88*0.3*0.05</f>
        <v>5148000000</v>
      </c>
      <c r="F10" s="148">
        <v>2</v>
      </c>
      <c r="G10" s="153">
        <f t="shared" si="0"/>
        <v>2.2651222651222649E-16</v>
      </c>
      <c r="H10" s="148">
        <v>2.2000000000000002</v>
      </c>
      <c r="I10" s="154">
        <f>E10*G10</f>
        <v>1.1660849420849419E-6</v>
      </c>
      <c r="J10" s="153"/>
      <c r="K10" s="155">
        <f>I10*working_capacity</f>
        <v>6.8565794594594581E-2</v>
      </c>
      <c r="M10" s="169"/>
      <c r="N10" s="166"/>
      <c r="O10" s="169"/>
      <c r="P10" s="169"/>
    </row>
    <row r="11" spans="1:16">
      <c r="A11" s="148" t="s">
        <v>157</v>
      </c>
      <c r="B11" s="149" t="s">
        <v>1548</v>
      </c>
      <c r="C11" s="149" t="s">
        <v>5</v>
      </c>
      <c r="D11" s="149" t="s">
        <v>526</v>
      </c>
      <c r="E11" s="153">
        <f>8000000*0.1*88</f>
        <v>70400000</v>
      </c>
      <c r="F11" s="148">
        <v>2</v>
      </c>
      <c r="G11" s="153">
        <f t="shared" si="0"/>
        <v>2.2651222651222649E-16</v>
      </c>
      <c r="H11" s="148">
        <v>2.2000000000000002</v>
      </c>
      <c r="I11" s="154">
        <f t="shared" si="1"/>
        <v>1.5946460746460745E-8</v>
      </c>
      <c r="J11" s="153"/>
      <c r="K11" s="155">
        <f>I11*diarrhea</f>
        <v>8.3718918918918917E-5</v>
      </c>
      <c r="M11" s="169"/>
      <c r="N11" s="166"/>
      <c r="O11" s="169"/>
      <c r="P11" s="169"/>
    </row>
    <row r="12" spans="1:16">
      <c r="A12" s="148" t="s">
        <v>157</v>
      </c>
      <c r="B12" s="149" t="s">
        <v>160</v>
      </c>
      <c r="C12" s="149" t="s">
        <v>7</v>
      </c>
      <c r="D12" s="149" t="s">
        <v>530</v>
      </c>
      <c r="E12" s="148">
        <f>88*2900000000000*9/6.8*0.05</f>
        <v>16888235294117.648</v>
      </c>
      <c r="F12" s="148">
        <v>2</v>
      </c>
      <c r="G12" s="153">
        <f t="shared" si="0"/>
        <v>2.2651222651222649E-16</v>
      </c>
      <c r="H12" s="148">
        <v>2.2000000000000002</v>
      </c>
      <c r="I12" s="154">
        <f t="shared" si="1"/>
        <v>3.8253917783329545E-3</v>
      </c>
      <c r="J12" s="153"/>
      <c r="K12" s="155">
        <f>I12*cropvalue</f>
        <v>8.4158619123325001E-4</v>
      </c>
      <c r="M12" s="168"/>
      <c r="N12" s="166"/>
      <c r="O12" s="169"/>
      <c r="P12" s="169"/>
    </row>
    <row r="13" spans="1:16">
      <c r="A13" s="148" t="s">
        <v>157</v>
      </c>
      <c r="B13" s="149" t="s">
        <v>160</v>
      </c>
      <c r="C13" s="149" t="s">
        <v>7</v>
      </c>
      <c r="D13" s="149" t="s">
        <v>533</v>
      </c>
      <c r="E13" s="148">
        <f>12500000*5000*500</f>
        <v>31250000000000</v>
      </c>
      <c r="F13" s="148">
        <v>3</v>
      </c>
      <c r="G13" s="153">
        <f t="shared" si="0"/>
        <v>2.2651222651222649E-16</v>
      </c>
      <c r="H13" s="148">
        <v>2.2000000000000002</v>
      </c>
      <c r="I13" s="154">
        <f>E13*G13</f>
        <v>7.078507078507078E-3</v>
      </c>
      <c r="J13" s="153"/>
      <c r="K13" s="155">
        <f>I13*cropvalue</f>
        <v>1.5572715572715571E-3</v>
      </c>
      <c r="M13" s="168"/>
      <c r="N13" s="166"/>
      <c r="O13" s="168"/>
      <c r="P13" s="169"/>
    </row>
    <row r="14" spans="1:16">
      <c r="A14" s="148" t="s">
        <v>157</v>
      </c>
      <c r="B14" s="149" t="s">
        <v>160</v>
      </c>
      <c r="C14" s="149" t="s">
        <v>7</v>
      </c>
      <c r="D14" s="149" t="s">
        <v>537</v>
      </c>
      <c r="E14" s="154">
        <f>E12+E13</f>
        <v>48138235294117.648</v>
      </c>
      <c r="G14" s="153">
        <f t="shared" si="0"/>
        <v>2.2651222651222649E-16</v>
      </c>
      <c r="H14" s="148">
        <v>2.2000000000000002</v>
      </c>
      <c r="I14" s="153"/>
      <c r="J14" s="154">
        <f>I12+I13</f>
        <v>1.0903898856840032E-2</v>
      </c>
      <c r="M14" s="168"/>
      <c r="N14" s="166"/>
      <c r="O14" s="168"/>
      <c r="P14" s="169"/>
    </row>
    <row r="15" spans="1:16">
      <c r="A15" s="148" t="s">
        <v>157</v>
      </c>
      <c r="B15" s="149" t="s">
        <v>529</v>
      </c>
      <c r="C15" s="149" t="s">
        <v>7</v>
      </c>
      <c r="D15" s="149" t="s">
        <v>530</v>
      </c>
      <c r="E15" s="148">
        <f>88*990000000000*9/6.8*0.05</f>
        <v>5765294117647.0586</v>
      </c>
      <c r="F15" s="148">
        <v>2</v>
      </c>
      <c r="G15" s="153">
        <f t="shared" si="0"/>
        <v>2.2651222651222649E-16</v>
      </c>
      <c r="H15" s="148">
        <v>2.2000000000000002</v>
      </c>
      <c r="I15" s="154">
        <f t="shared" si="1"/>
        <v>1.3059096070860774E-3</v>
      </c>
      <c r="J15" s="153"/>
      <c r="K15" s="155">
        <f>I15*Fruitandveg_value</f>
        <v>5.0930474676357017E-4</v>
      </c>
      <c r="M15" s="168"/>
      <c r="N15" s="166"/>
      <c r="O15" s="168"/>
      <c r="P15" s="169"/>
    </row>
    <row r="16" spans="1:16">
      <c r="A16" s="148" t="s">
        <v>157</v>
      </c>
      <c r="B16" s="149" t="s">
        <v>538</v>
      </c>
      <c r="C16" s="149" t="s">
        <v>7</v>
      </c>
      <c r="D16" s="149" t="s">
        <v>509</v>
      </c>
      <c r="E16" s="148">
        <f>88*390000000000*9/6.8*0.05</f>
        <v>2271176470588.2358</v>
      </c>
      <c r="F16" s="148">
        <v>2</v>
      </c>
      <c r="G16" s="153">
        <f t="shared" si="0"/>
        <v>2.2651222651222649E-16</v>
      </c>
      <c r="H16" s="148">
        <v>2.2000000000000002</v>
      </c>
      <c r="I16" s="154">
        <f t="shared" si="1"/>
        <v>5.1444923915512154E-4</v>
      </c>
      <c r="J16" s="153"/>
      <c r="K16" s="155">
        <f>I16*fishandmeatvalue</f>
        <v>1.0803434022257552E-3</v>
      </c>
      <c r="M16" s="168"/>
      <c r="N16" s="166"/>
      <c r="O16" s="169"/>
      <c r="P16" s="169"/>
    </row>
    <row r="17" spans="1:16">
      <c r="A17" s="148" t="s">
        <v>157</v>
      </c>
      <c r="B17" s="148" t="s">
        <v>161</v>
      </c>
      <c r="C17" s="149" t="s">
        <v>7</v>
      </c>
      <c r="D17" s="149" t="s">
        <v>530</v>
      </c>
      <c r="E17" s="153">
        <v>0</v>
      </c>
      <c r="F17" s="153">
        <v>800000000000000</v>
      </c>
      <c r="G17" s="153">
        <f t="shared" si="0"/>
        <v>2.2651222651222649E-16</v>
      </c>
      <c r="H17" s="148">
        <v>2.2000000000000002</v>
      </c>
      <c r="I17" s="154">
        <f t="shared" si="1"/>
        <v>0</v>
      </c>
      <c r="J17" s="153"/>
      <c r="K17" s="155">
        <f>I17*woodvalue</f>
        <v>0</v>
      </c>
      <c r="M17" s="169"/>
      <c r="N17" s="166"/>
      <c r="O17" s="169"/>
      <c r="P17" s="169"/>
    </row>
    <row r="18" spans="1:16">
      <c r="A18" s="148" t="s">
        <v>157</v>
      </c>
      <c r="B18" s="148" t="s">
        <v>508</v>
      </c>
      <c r="C18" s="149" t="s">
        <v>7</v>
      </c>
      <c r="D18" s="149" t="s">
        <v>530</v>
      </c>
      <c r="E18" s="148">
        <f>6300000000000*88*0.5</f>
        <v>277200000000000</v>
      </c>
      <c r="F18" s="148">
        <v>3</v>
      </c>
      <c r="G18" s="153">
        <f t="shared" si="0"/>
        <v>2.2651222651222649E-16</v>
      </c>
      <c r="H18" s="148">
        <v>2.2000000000000002</v>
      </c>
      <c r="I18" s="154">
        <f t="shared" si="1"/>
        <v>6.2789189189189187E-2</v>
      </c>
      <c r="J18" s="153"/>
      <c r="K18" s="155">
        <f>I18*drinkingwatervalue</f>
        <v>1.2557837837837838E-4</v>
      </c>
      <c r="M18" s="168"/>
      <c r="N18" s="166"/>
      <c r="O18" s="169"/>
      <c r="P18" s="169"/>
    </row>
    <row r="19" spans="1:16">
      <c r="A19" s="148" t="s">
        <v>157</v>
      </c>
      <c r="B19" s="148" t="s">
        <v>510</v>
      </c>
      <c r="C19" s="149" t="s">
        <v>7</v>
      </c>
      <c r="D19" s="149" t="s">
        <v>530</v>
      </c>
      <c r="E19" s="148">
        <f>6300000000000*88</f>
        <v>554400000000000</v>
      </c>
      <c r="F19" s="148">
        <v>3</v>
      </c>
      <c r="G19" s="153">
        <f t="shared" si="0"/>
        <v>2.2651222651222649E-16</v>
      </c>
      <c r="H19" s="148">
        <v>2.2000000000000002</v>
      </c>
      <c r="I19" s="154">
        <f t="shared" si="1"/>
        <v>0.12557837837837837</v>
      </c>
      <c r="J19" s="153"/>
      <c r="K19" s="155">
        <f>I19*irrigationwatervalue</f>
        <v>1.2557837837837838E-4</v>
      </c>
      <c r="M19" s="168"/>
      <c r="N19" s="166"/>
      <c r="O19" s="169"/>
      <c r="P19" s="169"/>
    </row>
    <row r="20" spans="1:16">
      <c r="A20" s="148" t="s">
        <v>157</v>
      </c>
      <c r="B20" s="148" t="s">
        <v>511</v>
      </c>
      <c r="C20" s="149" t="s">
        <v>487</v>
      </c>
      <c r="D20" s="149" t="s">
        <v>512</v>
      </c>
      <c r="E20" s="153">
        <f>1400000000</f>
        <v>1400000000</v>
      </c>
      <c r="F20" s="148">
        <v>4</v>
      </c>
      <c r="G20" s="153">
        <f t="shared" si="0"/>
        <v>2.2651222651222649E-16</v>
      </c>
      <c r="H20" s="148">
        <v>2.2000000000000002</v>
      </c>
      <c r="I20" s="154">
        <f t="shared" si="1"/>
        <v>3.1711711711711707E-7</v>
      </c>
      <c r="J20" s="153"/>
      <c r="K20" s="155">
        <f>I20*energy_access</f>
        <v>8.879279279279278E-4</v>
      </c>
      <c r="M20" s="168"/>
      <c r="N20" s="166"/>
      <c r="O20" s="169"/>
      <c r="P20" s="169"/>
    </row>
    <row r="21" spans="1:16">
      <c r="A21" s="148" t="s">
        <v>157</v>
      </c>
      <c r="B21" s="149" t="s">
        <v>1499</v>
      </c>
      <c r="C21" s="149" t="s">
        <v>1483</v>
      </c>
      <c r="D21" s="149" t="s">
        <v>514</v>
      </c>
      <c r="E21" s="153">
        <f>1000000*88</f>
        <v>88000000</v>
      </c>
      <c r="F21" s="148">
        <v>4</v>
      </c>
      <c r="G21" s="153">
        <f t="shared" si="0"/>
        <v>2.2651222651222649E-16</v>
      </c>
      <c r="H21" s="148">
        <v>2.2000000000000002</v>
      </c>
      <c r="I21" s="154">
        <f t="shared" si="1"/>
        <v>1.9933075933075932E-8</v>
      </c>
      <c r="J21" s="153"/>
      <c r="K21" s="155">
        <f>I21*housingvalue</f>
        <v>3.9866151866151864E-5</v>
      </c>
      <c r="M21" s="168"/>
      <c r="N21" s="166"/>
      <c r="O21" s="169"/>
      <c r="P21" s="169"/>
    </row>
    <row r="22" spans="1:16">
      <c r="A22" s="148" t="s">
        <v>157</v>
      </c>
      <c r="B22" s="148" t="s">
        <v>515</v>
      </c>
      <c r="C22" s="149" t="s">
        <v>523</v>
      </c>
      <c r="D22" s="149" t="s">
        <v>516</v>
      </c>
      <c r="E22" s="153">
        <v>1000000000</v>
      </c>
      <c r="F22" s="148">
        <v>4</v>
      </c>
      <c r="G22" s="153">
        <f t="shared" si="0"/>
        <v>2.2651222651222649E-16</v>
      </c>
      <c r="H22" s="148">
        <v>2.2000000000000002</v>
      </c>
      <c r="I22" s="154">
        <f t="shared" si="1"/>
        <v>2.2651222651222648E-7</v>
      </c>
      <c r="J22" s="153"/>
      <c r="K22" s="155">
        <f>I22*migrationvalue</f>
        <v>5.6628056628056618E-3</v>
      </c>
      <c r="M22" s="168"/>
      <c r="N22" s="166"/>
      <c r="O22" s="169"/>
      <c r="P22" s="169"/>
    </row>
    <row r="23" spans="1:16">
      <c r="A23" s="148" t="s">
        <v>157</v>
      </c>
      <c r="B23" s="148" t="s">
        <v>174</v>
      </c>
      <c r="C23" s="149" t="s">
        <v>505</v>
      </c>
      <c r="D23" s="148" t="s">
        <v>507</v>
      </c>
      <c r="E23" s="148">
        <v>1</v>
      </c>
      <c r="F23" s="148">
        <v>4</v>
      </c>
      <c r="G23" s="153">
        <f>1/(3885000000000000/0.88)</f>
        <v>2.2651222651222649E-16</v>
      </c>
      <c r="H23" s="148">
        <v>2.2000000000000002</v>
      </c>
      <c r="I23" s="154">
        <f t="shared" si="1"/>
        <v>2.2651222651222649E-16</v>
      </c>
      <c r="J23" s="153"/>
      <c r="K23" s="155">
        <f>speciesvalue*I23</f>
        <v>1.2684684684684684E-5</v>
      </c>
      <c r="M23" s="168"/>
      <c r="N23" s="166"/>
      <c r="O23" s="169"/>
      <c r="P23" s="169"/>
    </row>
    <row r="24" spans="1:16">
      <c r="A24" s="148" t="s">
        <v>157</v>
      </c>
      <c r="B24" s="148" t="s">
        <v>159</v>
      </c>
      <c r="D24" s="148" t="s">
        <v>159</v>
      </c>
      <c r="L24" s="155">
        <f>SUM(K3:K23)</f>
        <v>0.13478038028616854</v>
      </c>
      <c r="M24" s="168"/>
      <c r="N24" s="166"/>
      <c r="O24" s="169"/>
      <c r="P24" s="169"/>
    </row>
    <row r="25" spans="1:16">
      <c r="M25" s="169"/>
      <c r="N25" s="166"/>
      <c r="O25" s="169"/>
      <c r="P25" s="169"/>
    </row>
    <row r="26" spans="1:16">
      <c r="A26" s="148" t="s">
        <v>163</v>
      </c>
      <c r="B26" s="148" t="s">
        <v>4</v>
      </c>
      <c r="C26" s="148" t="s">
        <v>5</v>
      </c>
      <c r="D26" s="148" t="s">
        <v>530</v>
      </c>
      <c r="E26" s="154">
        <f>E8</f>
        <v>2864712000</v>
      </c>
      <c r="F26" s="157">
        <f>F5</f>
        <v>3</v>
      </c>
      <c r="G26" s="153">
        <f>5.3/(3885000000000000/0.88)</f>
        <v>1.2005148005148004E-15</v>
      </c>
      <c r="H26" s="148">
        <v>1.25</v>
      </c>
      <c r="I26" s="154">
        <f>E26*G26</f>
        <v>3.4391291552123548E-6</v>
      </c>
      <c r="J26" s="154">
        <f>I26</f>
        <v>3.4391291552123548E-6</v>
      </c>
      <c r="K26" s="155">
        <f>YOLLvalue*I26</f>
        <v>0.17195645776061774</v>
      </c>
      <c r="M26" s="168"/>
      <c r="N26" s="166"/>
      <c r="O26" s="169"/>
      <c r="P26" s="169"/>
    </row>
    <row r="27" spans="1:16">
      <c r="A27" s="148" t="s">
        <v>163</v>
      </c>
      <c r="B27" s="148" t="s">
        <v>4</v>
      </c>
      <c r="C27" s="148" t="s">
        <v>5</v>
      </c>
      <c r="D27" s="149" t="s">
        <v>170</v>
      </c>
      <c r="E27" s="158">
        <f>NOx_YOLL_Oxidant_charfact</f>
        <v>3.5591248961506508E-6</v>
      </c>
      <c r="F27" s="159">
        <f>EXP(SQRT(LN(F46)^2+LN(H46)^2))</f>
        <v>3.225367609015227</v>
      </c>
      <c r="G27" s="153">
        <f>0.021/0.62</f>
        <v>3.3870967741935487E-2</v>
      </c>
      <c r="H27" s="149">
        <v>2</v>
      </c>
      <c r="I27" s="154">
        <f>E27*G27</f>
        <v>1.2055100454703817E-7</v>
      </c>
      <c r="J27" s="153"/>
      <c r="K27" s="155">
        <f>YOLLvalue*I27</f>
        <v>6.0275502273519086E-3</v>
      </c>
      <c r="M27" s="168"/>
      <c r="N27" s="166"/>
      <c r="O27" s="169"/>
      <c r="P27" s="169"/>
    </row>
    <row r="28" spans="1:16">
      <c r="A28" s="148" t="s">
        <v>163</v>
      </c>
      <c r="B28" s="148" t="s">
        <v>535</v>
      </c>
      <c r="C28" s="148" t="s">
        <v>5</v>
      </c>
      <c r="D28" s="148" t="s">
        <v>164</v>
      </c>
      <c r="E28" s="160">
        <v>4300</v>
      </c>
      <c r="F28" s="148">
        <v>4</v>
      </c>
      <c r="G28" s="153">
        <f>1/1560000000000</f>
        <v>6.4102564102564103E-13</v>
      </c>
      <c r="H28" s="148">
        <v>5</v>
      </c>
      <c r="I28" s="154">
        <f>E28*G28</f>
        <v>2.7564102564102565E-9</v>
      </c>
      <c r="K28" s="155">
        <f>I28*anginavalue</f>
        <v>8.2692307692307695E-6</v>
      </c>
      <c r="M28" s="169"/>
      <c r="N28" s="166"/>
      <c r="O28" s="169"/>
      <c r="P28" s="169"/>
    </row>
    <row r="29" spans="1:16">
      <c r="A29" s="148" t="s">
        <v>163</v>
      </c>
      <c r="B29" s="149" t="s">
        <v>519</v>
      </c>
      <c r="C29" s="149" t="s">
        <v>5</v>
      </c>
      <c r="D29" s="148" t="s">
        <v>530</v>
      </c>
      <c r="E29" s="154">
        <f>E10</f>
        <v>5148000000</v>
      </c>
      <c r="F29" s="159">
        <f>EXP(SQRT(LN(F9)^2+LN(H9)^2))</f>
        <v>2.8571313313055411</v>
      </c>
      <c r="G29" s="153">
        <f>5.3*G9</f>
        <v>1.2005148005148004E-15</v>
      </c>
      <c r="H29" s="159">
        <f>EXP(SQRT(LN(F9)^2+LN(H9)^2))</f>
        <v>2.8571313313055411</v>
      </c>
      <c r="I29" s="154">
        <f t="shared" ref="I29:I41" si="2">E29*G29</f>
        <v>6.1802501930501926E-6</v>
      </c>
      <c r="K29" s="155">
        <f>I29*malnutrition</f>
        <v>5.9021389343629341E-2</v>
      </c>
      <c r="M29" s="169"/>
      <c r="N29" s="170"/>
      <c r="O29" s="169"/>
      <c r="P29" s="169"/>
    </row>
    <row r="30" spans="1:16">
      <c r="A30" s="148" t="s">
        <v>163</v>
      </c>
      <c r="B30" s="149" t="s">
        <v>661</v>
      </c>
      <c r="C30" s="149" t="s">
        <v>5</v>
      </c>
      <c r="D30" s="148" t="s">
        <v>530</v>
      </c>
      <c r="E30" s="158">
        <f>I10</f>
        <v>1.1660849420849419E-6</v>
      </c>
      <c r="F30" s="159">
        <f>EXP(SQRT(LN(F10)^2+LN(H10)^2))</f>
        <v>2.8571313313055411</v>
      </c>
      <c r="G30" s="148">
        <v>5.3</v>
      </c>
      <c r="H30" s="148">
        <v>1.25</v>
      </c>
      <c r="I30" s="154">
        <f t="shared" si="2"/>
        <v>6.1802501930501918E-6</v>
      </c>
      <c r="J30" s="154">
        <f>SUM(I28:I29)</f>
        <v>6.1830066033066025E-6</v>
      </c>
      <c r="K30" s="155">
        <f>I30*working_capacity</f>
        <v>0.36339871135135127</v>
      </c>
      <c r="M30" s="168"/>
      <c r="N30" s="166"/>
      <c r="O30" s="169"/>
      <c r="P30" s="169"/>
    </row>
    <row r="31" spans="1:16">
      <c r="A31" s="148" t="s">
        <v>163</v>
      </c>
      <c r="B31" s="149" t="s">
        <v>1548</v>
      </c>
      <c r="C31" s="149" t="s">
        <v>7</v>
      </c>
      <c r="D31" s="148" t="s">
        <v>530</v>
      </c>
      <c r="E31" s="158">
        <f>I11</f>
        <v>1.5946460746460745E-8</v>
      </c>
      <c r="F31" s="159">
        <f>EXP(SQRT(LN(F11)^2+LN(H11)^2))</f>
        <v>2.8571313313055411</v>
      </c>
      <c r="G31" s="148">
        <v>5.3</v>
      </c>
      <c r="H31" s="148">
        <v>1.25</v>
      </c>
      <c r="I31" s="154">
        <f t="shared" si="2"/>
        <v>8.4516241956241952E-8</v>
      </c>
      <c r="J31" s="154">
        <f>I31</f>
        <v>8.4516241956241952E-8</v>
      </c>
      <c r="K31" s="155">
        <f>I31*diarrhea</f>
        <v>4.4371027027027024E-4</v>
      </c>
      <c r="M31" s="168"/>
      <c r="N31" s="166"/>
      <c r="O31" s="169"/>
      <c r="P31" s="169"/>
    </row>
    <row r="32" spans="1:16">
      <c r="A32" s="148" t="s">
        <v>163</v>
      </c>
      <c r="B32" s="148" t="s">
        <v>160</v>
      </c>
      <c r="C32" s="149" t="s">
        <v>7</v>
      </c>
      <c r="D32" s="148" t="s">
        <v>530</v>
      </c>
      <c r="E32" s="158">
        <f>I12+I13</f>
        <v>1.0903898856840032E-2</v>
      </c>
      <c r="F32" s="159">
        <f>EXP(SQRT(LN(F13)^2+LN(H13)^2))</f>
        <v>3.8661629807182414</v>
      </c>
      <c r="G32" s="148">
        <v>5.3</v>
      </c>
      <c r="H32" s="148">
        <v>1.25</v>
      </c>
      <c r="I32" s="154">
        <f>E32*G32</f>
        <v>5.7790663941252166E-2</v>
      </c>
      <c r="J32" s="154">
        <f>I32</f>
        <v>5.7790663941252166E-2</v>
      </c>
      <c r="K32" s="155">
        <f>I32*cropvalue</f>
        <v>1.2713946067075476E-2</v>
      </c>
      <c r="M32" s="168"/>
      <c r="N32" s="166"/>
      <c r="O32" s="169"/>
      <c r="P32" s="169"/>
    </row>
    <row r="33" spans="1:18">
      <c r="A33" s="148" t="s">
        <v>163</v>
      </c>
      <c r="B33" s="149" t="s">
        <v>529</v>
      </c>
      <c r="C33" s="149" t="s">
        <v>7</v>
      </c>
      <c r="D33" s="148" t="s">
        <v>530</v>
      </c>
      <c r="E33" s="158">
        <f>I15</f>
        <v>1.3059096070860774E-3</v>
      </c>
      <c r="F33" s="159">
        <f>EXP(SQRT(LN(F15)^2+LN(H15)^2))</f>
        <v>2.8571313313055411</v>
      </c>
      <c r="G33" s="148">
        <v>5.3</v>
      </c>
      <c r="H33" s="148">
        <v>1.25</v>
      </c>
      <c r="I33" s="154">
        <f t="shared" si="2"/>
        <v>6.9213209175562106E-3</v>
      </c>
      <c r="J33" s="154">
        <f>I33</f>
        <v>6.9213209175562106E-3</v>
      </c>
      <c r="K33" s="155">
        <f>I33*Fruitandveg_value</f>
        <v>2.699315157846922E-3</v>
      </c>
      <c r="M33" s="168"/>
      <c r="N33" s="166"/>
      <c r="O33" s="169"/>
      <c r="P33" s="169"/>
    </row>
    <row r="34" spans="1:18">
      <c r="A34" s="148" t="s">
        <v>163</v>
      </c>
      <c r="B34" s="148" t="s">
        <v>538</v>
      </c>
      <c r="C34" s="149" t="s">
        <v>7</v>
      </c>
      <c r="D34" s="148" t="s">
        <v>530</v>
      </c>
      <c r="E34" s="158">
        <f>I16</f>
        <v>5.1444923915512154E-4</v>
      </c>
      <c r="F34" s="159">
        <f t="shared" ref="F34:F41" si="3">EXP(SQRT(LN(F16)^2+LN(H16)^2))</f>
        <v>2.8571313313055411</v>
      </c>
      <c r="G34" s="148">
        <v>5.3</v>
      </c>
      <c r="H34" s="148">
        <v>1.25</v>
      </c>
      <c r="I34" s="154">
        <f t="shared" si="2"/>
        <v>2.7265809675221441E-3</v>
      </c>
      <c r="K34" s="155">
        <f>I34*fishandmeatvalue</f>
        <v>5.7258200317965033E-3</v>
      </c>
      <c r="M34" s="169"/>
      <c r="N34" s="166"/>
      <c r="O34" s="169"/>
      <c r="P34" s="169"/>
    </row>
    <row r="35" spans="1:18">
      <c r="A35" s="148" t="s">
        <v>163</v>
      </c>
      <c r="B35" s="148" t="s">
        <v>161</v>
      </c>
      <c r="C35" s="149" t="s">
        <v>7</v>
      </c>
      <c r="D35" s="148" t="s">
        <v>530</v>
      </c>
      <c r="E35" s="158">
        <f>charco2woodgw</f>
        <v>0</v>
      </c>
      <c r="F35" s="154">
        <f>F17</f>
        <v>800000000000000</v>
      </c>
      <c r="G35" s="148">
        <v>5.3</v>
      </c>
      <c r="H35" s="148">
        <v>1.25</v>
      </c>
      <c r="I35" s="154">
        <f t="shared" si="2"/>
        <v>0</v>
      </c>
      <c r="K35" s="155">
        <f>I35*woodvalue</f>
        <v>0</v>
      </c>
      <c r="M35" s="169"/>
      <c r="N35" s="166"/>
      <c r="O35" s="169"/>
      <c r="P35" s="169"/>
    </row>
    <row r="36" spans="1:18">
      <c r="A36" s="148" t="s">
        <v>163</v>
      </c>
      <c r="B36" s="148" t="s">
        <v>508</v>
      </c>
      <c r="C36" s="149" t="s">
        <v>7</v>
      </c>
      <c r="D36" s="148" t="s">
        <v>530</v>
      </c>
      <c r="E36" s="158">
        <f t="shared" ref="E36:E41" si="4">I18</f>
        <v>6.2789189189189187E-2</v>
      </c>
      <c r="F36" s="159">
        <f t="shared" si="3"/>
        <v>3.8661629807182414</v>
      </c>
      <c r="G36" s="148">
        <v>5.3</v>
      </c>
      <c r="H36" s="148">
        <v>1.25</v>
      </c>
      <c r="I36" s="154">
        <f t="shared" si="2"/>
        <v>0.33278270270270266</v>
      </c>
      <c r="J36" s="154">
        <f>SUM(I34:I35)</f>
        <v>2.7265809675221441E-3</v>
      </c>
      <c r="K36" s="155">
        <f>I36*drinkingwatervalue</f>
        <v>6.6556540540540533E-4</v>
      </c>
      <c r="M36" s="168"/>
      <c r="N36" s="166"/>
      <c r="O36" s="169"/>
      <c r="P36" s="169"/>
    </row>
    <row r="37" spans="1:18">
      <c r="A37" s="148" t="s">
        <v>163</v>
      </c>
      <c r="B37" s="148" t="s">
        <v>510</v>
      </c>
      <c r="C37" s="149" t="s">
        <v>7</v>
      </c>
      <c r="D37" s="148" t="s">
        <v>530</v>
      </c>
      <c r="E37" s="158">
        <f t="shared" si="4"/>
        <v>0.12557837837837837</v>
      </c>
      <c r="F37" s="159">
        <f t="shared" si="3"/>
        <v>3.8661629807182414</v>
      </c>
      <c r="G37" s="148">
        <v>5.3</v>
      </c>
      <c r="H37" s="148">
        <v>1.25</v>
      </c>
      <c r="I37" s="154">
        <f t="shared" si="2"/>
        <v>0.66556540540540532</v>
      </c>
      <c r="J37" s="153"/>
      <c r="K37" s="155">
        <f>I37*irrigationwatervalue</f>
        <v>6.6556540540540533E-4</v>
      </c>
      <c r="M37" s="168"/>
      <c r="N37" s="166"/>
      <c r="O37" s="169"/>
      <c r="P37" s="169"/>
    </row>
    <row r="38" spans="1:18">
      <c r="A38" s="148" t="s">
        <v>163</v>
      </c>
      <c r="B38" s="148" t="s">
        <v>511</v>
      </c>
      <c r="C38" s="149" t="s">
        <v>487</v>
      </c>
      <c r="D38" s="148" t="s">
        <v>530</v>
      </c>
      <c r="E38" s="158">
        <f t="shared" si="4"/>
        <v>3.1711711711711707E-7</v>
      </c>
      <c r="F38" s="159">
        <f t="shared" si="3"/>
        <v>4.9274825772801725</v>
      </c>
      <c r="G38" s="148">
        <v>5.3</v>
      </c>
      <c r="H38" s="148">
        <v>1.25</v>
      </c>
      <c r="I38" s="154">
        <f t="shared" si="2"/>
        <v>1.6807207207207205E-6</v>
      </c>
      <c r="J38" s="153"/>
      <c r="K38" s="155">
        <f>I38*energy_access</f>
        <v>4.7060180180180169E-3</v>
      </c>
      <c r="M38" s="168"/>
      <c r="N38" s="166"/>
      <c r="O38" s="169"/>
      <c r="P38" s="169"/>
    </row>
    <row r="39" spans="1:18">
      <c r="A39" s="148" t="s">
        <v>163</v>
      </c>
      <c r="B39" s="149" t="s">
        <v>513</v>
      </c>
      <c r="C39" s="149" t="s">
        <v>5</v>
      </c>
      <c r="D39" s="148" t="s">
        <v>530</v>
      </c>
      <c r="E39" s="158">
        <f t="shared" si="4"/>
        <v>1.9933075933075932E-8</v>
      </c>
      <c r="F39" s="159">
        <f t="shared" si="3"/>
        <v>4.9274825772801725</v>
      </c>
      <c r="G39" s="148">
        <v>5.3</v>
      </c>
      <c r="H39" s="148">
        <v>1.25</v>
      </c>
      <c r="I39" s="154">
        <f t="shared" si="2"/>
        <v>1.0564530244530244E-7</v>
      </c>
      <c r="J39" s="153"/>
      <c r="K39" s="155">
        <f>I39*housingvalue</f>
        <v>2.1129060489060488E-4</v>
      </c>
      <c r="M39" s="168"/>
      <c r="N39" s="166"/>
      <c r="O39" s="169"/>
      <c r="P39" s="169"/>
    </row>
    <row r="40" spans="1:18">
      <c r="A40" s="148" t="s">
        <v>163</v>
      </c>
      <c r="B40" s="148" t="s">
        <v>515</v>
      </c>
      <c r="C40" s="149" t="s">
        <v>523</v>
      </c>
      <c r="D40" s="148" t="s">
        <v>530</v>
      </c>
      <c r="E40" s="158">
        <f t="shared" si="4"/>
        <v>2.2651222651222648E-7</v>
      </c>
      <c r="F40" s="159">
        <f t="shared" si="3"/>
        <v>4.9274825772801725</v>
      </c>
      <c r="G40" s="148">
        <v>5.3</v>
      </c>
      <c r="H40" s="148">
        <v>1.25</v>
      </c>
      <c r="I40" s="154">
        <f t="shared" si="2"/>
        <v>1.2005148005148003E-6</v>
      </c>
      <c r="J40" s="153"/>
      <c r="K40" s="155">
        <f>I40*migrationvalue</f>
        <v>3.0012870012870008E-2</v>
      </c>
      <c r="M40" s="168"/>
      <c r="N40" s="166"/>
      <c r="O40" s="169"/>
      <c r="P40" s="169"/>
    </row>
    <row r="41" spans="1:18">
      <c r="A41" s="148" t="s">
        <v>163</v>
      </c>
      <c r="B41" s="148" t="s">
        <v>174</v>
      </c>
      <c r="C41" s="149" t="s">
        <v>505</v>
      </c>
      <c r="D41" s="148" t="s">
        <v>162</v>
      </c>
      <c r="E41" s="158">
        <f t="shared" si="4"/>
        <v>2.2651222651222649E-16</v>
      </c>
      <c r="F41" s="159">
        <f t="shared" si="3"/>
        <v>4.9274825772801725</v>
      </c>
      <c r="G41" s="148">
        <v>5.3</v>
      </c>
      <c r="H41" s="148">
        <v>1.25</v>
      </c>
      <c r="I41" s="154">
        <f t="shared" si="2"/>
        <v>1.2005148005148004E-15</v>
      </c>
      <c r="J41" s="154">
        <f>I41</f>
        <v>1.2005148005148004E-15</v>
      </c>
      <c r="K41" s="155">
        <f>speciesvalue*I41</f>
        <v>6.7228828828828826E-5</v>
      </c>
      <c r="M41" s="168"/>
      <c r="N41" s="166"/>
      <c r="O41" s="169"/>
      <c r="P41" s="169"/>
    </row>
    <row r="42" spans="1:18">
      <c r="A42" s="148" t="s">
        <v>163</v>
      </c>
      <c r="B42" s="148" t="s">
        <v>159</v>
      </c>
      <c r="D42" s="148" t="s">
        <v>159</v>
      </c>
      <c r="L42" s="155">
        <f>SUM(K26:K41)</f>
        <v>0.65832370771612692</v>
      </c>
      <c r="M42" s="169"/>
      <c r="N42" s="166"/>
      <c r="O42" s="169"/>
      <c r="P42" s="169"/>
    </row>
    <row r="43" spans="1:18">
      <c r="M43" s="169"/>
      <c r="N43" s="171"/>
      <c r="O43" s="169"/>
      <c r="P43" s="169"/>
    </row>
    <row r="44" spans="1:18">
      <c r="A44" s="148" t="s">
        <v>168</v>
      </c>
      <c r="B44" s="169" t="s">
        <v>4</v>
      </c>
      <c r="C44" s="188" t="s">
        <v>5</v>
      </c>
      <c r="D44" s="169" t="s">
        <v>169</v>
      </c>
      <c r="E44" s="154">
        <v>-9.928052089575288E-5</v>
      </c>
      <c r="F44" s="148">
        <v>4</v>
      </c>
      <c r="G44" s="153">
        <f>0.63</f>
        <v>0.63</v>
      </c>
      <c r="H44" s="148">
        <v>1.5</v>
      </c>
      <c r="I44" s="154">
        <f>E44*G44</f>
        <v>-6.2546728164324309E-5</v>
      </c>
      <c r="K44" s="189">
        <f>I44*YOLLvalue</f>
        <v>-3.1273364082162156</v>
      </c>
      <c r="M44" s="169"/>
      <c r="N44" s="171"/>
      <c r="O44" s="172"/>
      <c r="P44" s="169"/>
      <c r="R44" s="153"/>
    </row>
    <row r="45" spans="1:18">
      <c r="A45" s="148" t="s">
        <v>168</v>
      </c>
      <c r="B45" s="169" t="s">
        <v>4</v>
      </c>
      <c r="C45" s="188" t="s">
        <v>5</v>
      </c>
      <c r="D45" s="188" t="s">
        <v>530</v>
      </c>
      <c r="E45" s="158">
        <f>charco2yoll</f>
        <v>6.4889229343629337E-7</v>
      </c>
      <c r="F45" s="148">
        <v>4</v>
      </c>
      <c r="G45" s="153">
        <f>-50</f>
        <v>-50</v>
      </c>
      <c r="H45" s="148">
        <v>1.5</v>
      </c>
      <c r="I45" s="154">
        <f>E45*G45</f>
        <v>-3.2444614671814671E-5</v>
      </c>
      <c r="K45" s="189">
        <f>I45*YOLLvalue</f>
        <v>-1.6222307335907336</v>
      </c>
      <c r="M45" s="169"/>
      <c r="N45" s="171"/>
      <c r="O45" s="172"/>
      <c r="P45" s="169"/>
      <c r="R45" s="153"/>
    </row>
    <row r="46" spans="1:18">
      <c r="A46" s="148" t="s">
        <v>168</v>
      </c>
      <c r="B46" s="148" t="s">
        <v>4</v>
      </c>
      <c r="C46" s="149" t="s">
        <v>5</v>
      </c>
      <c r="D46" s="148" t="s">
        <v>170</v>
      </c>
      <c r="E46" s="153">
        <f>36000/314*7200*0.527</f>
        <v>435026.75159235671</v>
      </c>
      <c r="F46" s="148">
        <v>3</v>
      </c>
      <c r="G46" s="148">
        <f>1/(37200000000*46/14)</f>
        <v>8.1813931743805515E-12</v>
      </c>
      <c r="H46" s="148">
        <v>1.5</v>
      </c>
      <c r="I46" s="154">
        <f>E46*G46</f>
        <v>3.5591248961506508E-6</v>
      </c>
      <c r="K46" s="155">
        <f>I46*YOLLvalue</f>
        <v>0.17795624480753253</v>
      </c>
      <c r="M46" s="169"/>
      <c r="N46" s="166"/>
      <c r="O46" s="169"/>
      <c r="P46" s="169"/>
    </row>
    <row r="47" spans="1:18">
      <c r="A47" s="148" t="s">
        <v>168</v>
      </c>
      <c r="B47" s="148" t="s">
        <v>4</v>
      </c>
      <c r="D47" s="148" t="s">
        <v>159</v>
      </c>
      <c r="I47" s="153"/>
      <c r="J47" s="154">
        <f>SUM(I44:I46)</f>
        <v>-9.1432217939988323E-5</v>
      </c>
      <c r="M47" s="168"/>
      <c r="N47" s="166"/>
      <c r="O47" s="169"/>
      <c r="P47" s="169"/>
    </row>
    <row r="48" spans="1:18">
      <c r="A48" s="148" t="s">
        <v>168</v>
      </c>
      <c r="B48" s="149" t="s">
        <v>558</v>
      </c>
      <c r="D48" s="148" t="s">
        <v>169</v>
      </c>
      <c r="E48" s="153">
        <v>408671.99999999994</v>
      </c>
      <c r="F48" s="148">
        <v>3</v>
      </c>
      <c r="G48" s="148">
        <f>1/(37200000000*46/14)</f>
        <v>8.1813931743805515E-12</v>
      </c>
      <c r="H48" s="148">
        <v>2</v>
      </c>
      <c r="I48" s="154">
        <f t="shared" ref="I48:I69" si="5">E48*G48</f>
        <v>3.3435063113604485E-6</v>
      </c>
      <c r="K48" s="155">
        <f>I48*asthmacasesvalue</f>
        <v>7.1885385694249642E-3</v>
      </c>
      <c r="M48" s="169"/>
      <c r="N48" s="166"/>
      <c r="O48" s="169"/>
      <c r="P48" s="169"/>
    </row>
    <row r="49" spans="1:16">
      <c r="A49" s="148" t="s">
        <v>168</v>
      </c>
      <c r="B49" s="149" t="s">
        <v>658</v>
      </c>
      <c r="D49" s="148" t="s">
        <v>169</v>
      </c>
      <c r="E49" s="153">
        <v>31900</v>
      </c>
      <c r="F49" s="148">
        <v>3</v>
      </c>
      <c r="G49" s="148">
        <f>1/(37200000000*46/14)</f>
        <v>8.1813931743805515E-12</v>
      </c>
      <c r="H49" s="148">
        <v>2</v>
      </c>
      <c r="I49" s="154">
        <f t="shared" si="5"/>
        <v>2.6098644226273958E-7</v>
      </c>
      <c r="K49" s="154">
        <f>I49*COPDvalue</f>
        <v>4.9978903693314626E-3</v>
      </c>
      <c r="M49" s="169"/>
      <c r="N49" s="166"/>
      <c r="O49" s="169"/>
      <c r="P49" s="169"/>
    </row>
    <row r="50" spans="1:16">
      <c r="A50" s="148" t="s">
        <v>168</v>
      </c>
      <c r="B50" s="188" t="s">
        <v>519</v>
      </c>
      <c r="C50" s="188" t="s">
        <v>5</v>
      </c>
      <c r="D50" s="169" t="s">
        <v>530</v>
      </c>
      <c r="E50" s="158">
        <f>I9</f>
        <v>2.3919691119691116E-6</v>
      </c>
      <c r="F50" s="148">
        <v>4</v>
      </c>
      <c r="G50" s="148">
        <v>-95</v>
      </c>
      <c r="H50" s="148">
        <v>1.3</v>
      </c>
      <c r="I50" s="154">
        <f t="shared" si="5"/>
        <v>-2.2723706563706559E-4</v>
      </c>
      <c r="K50" s="189">
        <f>I50*malnutrition</f>
        <v>-2.1701139768339766</v>
      </c>
      <c r="M50" s="169"/>
      <c r="N50" s="171"/>
      <c r="O50" s="172"/>
      <c r="P50" s="169"/>
    </row>
    <row r="51" spans="1:16">
      <c r="A51" s="148" t="s">
        <v>168</v>
      </c>
      <c r="B51" s="188" t="s">
        <v>661</v>
      </c>
      <c r="C51" s="188" t="s">
        <v>5</v>
      </c>
      <c r="D51" s="169" t="s">
        <v>530</v>
      </c>
      <c r="E51" s="158">
        <f>I10</f>
        <v>1.1660849420849419E-6</v>
      </c>
      <c r="F51" s="148">
        <v>4</v>
      </c>
      <c r="G51" s="148">
        <v>-95</v>
      </c>
      <c r="H51" s="148">
        <v>1.3</v>
      </c>
      <c r="I51" s="154">
        <f>E51*G51</f>
        <v>-1.1077806949806948E-4</v>
      </c>
      <c r="J51" s="153"/>
      <c r="K51" s="189">
        <f>I51*working_capacity</f>
        <v>-6.5137504864864857</v>
      </c>
      <c r="M51" s="168"/>
      <c r="N51" s="171"/>
      <c r="O51" s="172"/>
      <c r="P51" s="169"/>
    </row>
    <row r="52" spans="1:16">
      <c r="A52" s="148" t="s">
        <v>168</v>
      </c>
      <c r="B52" s="149" t="s">
        <v>1548</v>
      </c>
      <c r="C52" s="149" t="s">
        <v>7</v>
      </c>
      <c r="D52" s="148" t="s">
        <v>530</v>
      </c>
      <c r="E52" s="158">
        <f>I11</f>
        <v>1.5946460746460745E-8</v>
      </c>
      <c r="F52" s="148">
        <v>4</v>
      </c>
      <c r="G52" s="148">
        <v>-95</v>
      </c>
      <c r="H52" s="148">
        <v>1.3</v>
      </c>
      <c r="I52" s="154">
        <f t="shared" si="5"/>
        <v>-1.5149137709137707E-6</v>
      </c>
      <c r="J52" s="153"/>
      <c r="K52" s="189">
        <f>I52*diarrhea</f>
        <v>-7.953297297297296E-3</v>
      </c>
      <c r="M52" s="168"/>
      <c r="N52" s="166"/>
      <c r="O52" s="169"/>
      <c r="P52" s="169"/>
    </row>
    <row r="53" spans="1:16">
      <c r="A53" s="148" t="s">
        <v>168</v>
      </c>
      <c r="B53" s="148" t="s">
        <v>160</v>
      </c>
      <c r="C53" s="149" t="s">
        <v>7</v>
      </c>
      <c r="D53" s="148" t="s">
        <v>170</v>
      </c>
      <c r="E53" s="153">
        <f>90000000000</f>
        <v>90000000000</v>
      </c>
      <c r="F53" s="148">
        <v>1.5</v>
      </c>
      <c r="G53" s="148">
        <f>1/(37200000000*46/14)</f>
        <v>8.1813931743805515E-12</v>
      </c>
      <c r="H53" s="148">
        <v>2</v>
      </c>
      <c r="I53" s="154">
        <f t="shared" si="5"/>
        <v>0.73632538569424966</v>
      </c>
      <c r="J53" s="153"/>
      <c r="K53" s="155">
        <f>I53*cropvalue</f>
        <v>0.16199158485273493</v>
      </c>
      <c r="M53" s="169"/>
      <c r="N53" s="166"/>
      <c r="O53" s="169"/>
      <c r="P53" s="169"/>
    </row>
    <row r="54" spans="1:16">
      <c r="A54" s="148" t="s">
        <v>168</v>
      </c>
      <c r="B54" s="148" t="s">
        <v>160</v>
      </c>
      <c r="C54" s="149" t="s">
        <v>7</v>
      </c>
      <c r="D54" s="148" t="s">
        <v>530</v>
      </c>
      <c r="E54" s="158">
        <f>I12</f>
        <v>3.8253917783329545E-3</v>
      </c>
      <c r="F54" s="148">
        <v>4</v>
      </c>
      <c r="G54" s="148">
        <v>-95</v>
      </c>
      <c r="H54" s="148">
        <v>1.3</v>
      </c>
      <c r="I54" s="154">
        <f t="shared" si="5"/>
        <v>-0.36341221894163067</v>
      </c>
      <c r="K54" s="189">
        <f>I54*cropvalue</f>
        <v>-7.9950688167158751E-2</v>
      </c>
      <c r="M54" s="169"/>
      <c r="N54" s="166"/>
      <c r="O54" s="169"/>
      <c r="P54" s="169"/>
    </row>
    <row r="55" spans="1:16">
      <c r="A55" s="148" t="s">
        <v>168</v>
      </c>
      <c r="B55" s="149" t="s">
        <v>529</v>
      </c>
      <c r="C55" s="149" t="s">
        <v>7</v>
      </c>
      <c r="D55" s="148" t="s">
        <v>530</v>
      </c>
      <c r="E55" s="158">
        <f>I15</f>
        <v>1.3059096070860774E-3</v>
      </c>
      <c r="F55" s="148">
        <v>4</v>
      </c>
      <c r="G55" s="148">
        <v>-95</v>
      </c>
      <c r="H55" s="148">
        <v>1.3</v>
      </c>
      <c r="I55" s="154">
        <f t="shared" si="5"/>
        <v>-0.12406141267317736</v>
      </c>
      <c r="K55" s="189">
        <f>I55*Fruitandveg_value</f>
        <v>-4.8383950942539174E-2</v>
      </c>
      <c r="M55" s="169"/>
      <c r="N55" s="166"/>
      <c r="O55" s="169"/>
      <c r="P55" s="169"/>
    </row>
    <row r="56" spans="1:16">
      <c r="A56" s="148" t="s">
        <v>168</v>
      </c>
      <c r="B56" s="148" t="s">
        <v>538</v>
      </c>
      <c r="C56" s="149" t="s">
        <v>7</v>
      </c>
      <c r="D56" s="148" t="s">
        <v>530</v>
      </c>
      <c r="E56" s="158">
        <f>I16</f>
        <v>5.1444923915512154E-4</v>
      </c>
      <c r="F56" s="148">
        <v>4</v>
      </c>
      <c r="G56" s="148">
        <v>-95</v>
      </c>
      <c r="H56" s="148">
        <v>1.3</v>
      </c>
      <c r="I56" s="154">
        <f t="shared" si="5"/>
        <v>-4.8872677719736544E-2</v>
      </c>
      <c r="J56" s="153"/>
      <c r="K56" s="189">
        <f>I56*fishandmeatvalue</f>
        <v>-0.10263262321144674</v>
      </c>
      <c r="M56" s="168"/>
      <c r="N56" s="166"/>
      <c r="O56" s="173"/>
      <c r="P56" s="169"/>
    </row>
    <row r="57" spans="1:16">
      <c r="A57" s="148" t="s">
        <v>168</v>
      </c>
      <c r="B57" s="148" t="s">
        <v>538</v>
      </c>
      <c r="C57" s="149" t="s">
        <v>7</v>
      </c>
      <c r="D57" s="149" t="s">
        <v>662</v>
      </c>
      <c r="E57" s="153">
        <f>24500000*10</f>
        <v>245000000</v>
      </c>
      <c r="F57" s="148">
        <v>3</v>
      </c>
      <c r="G57" s="148">
        <f>1/(37200000000*46/14)*0.24</f>
        <v>1.9635343618513324E-12</v>
      </c>
      <c r="H57" s="148">
        <v>2</v>
      </c>
      <c r="I57" s="154">
        <f t="shared" si="5"/>
        <v>4.8106591865357642E-4</v>
      </c>
      <c r="J57" s="153"/>
      <c r="K57" s="154">
        <f>I57*fishandmeatvalue</f>
        <v>1.0102384291725106E-3</v>
      </c>
      <c r="M57" s="168"/>
      <c r="N57" s="166"/>
      <c r="O57" s="173"/>
      <c r="P57" s="169"/>
    </row>
    <row r="58" spans="1:16">
      <c r="A58" s="148" t="s">
        <v>168</v>
      </c>
      <c r="B58" s="148" t="s">
        <v>538</v>
      </c>
      <c r="C58" s="149" t="s">
        <v>7</v>
      </c>
      <c r="D58" s="149" t="s">
        <v>664</v>
      </c>
      <c r="E58" s="153">
        <f>-100000000000*0.00111/0.9</f>
        <v>-123333333.33333334</v>
      </c>
      <c r="F58" s="148">
        <v>3</v>
      </c>
      <c r="G58" s="161">
        <f>G57</f>
        <v>1.9635343618513324E-12</v>
      </c>
      <c r="H58" s="148">
        <v>2</v>
      </c>
      <c r="I58" s="154">
        <f t="shared" si="5"/>
        <v>-2.4216923796166435E-4</v>
      </c>
      <c r="J58" s="153"/>
      <c r="K58" s="167">
        <f>I58*fishandmeatvalue</f>
        <v>-5.0855539971949519E-4</v>
      </c>
      <c r="M58" s="168"/>
      <c r="N58" s="166"/>
      <c r="O58" s="169"/>
      <c r="P58" s="169"/>
    </row>
    <row r="59" spans="1:16">
      <c r="A59" s="148" t="s">
        <v>168</v>
      </c>
      <c r="B59" s="148" t="s">
        <v>538</v>
      </c>
      <c r="C59" s="149" t="s">
        <v>7</v>
      </c>
      <c r="D59" s="149" t="s">
        <v>173</v>
      </c>
      <c r="E59" s="153">
        <f>200000000</f>
        <v>200000000</v>
      </c>
      <c r="F59" s="148">
        <v>3</v>
      </c>
      <c r="G59" s="148">
        <f>1/37200000000*2660/(2660+3910)</f>
        <v>1.088361892604049E-11</v>
      </c>
      <c r="H59" s="148">
        <v>2</v>
      </c>
      <c r="I59" s="154">
        <f t="shared" si="5"/>
        <v>2.176723785208098E-3</v>
      </c>
      <c r="J59" s="153"/>
      <c r="K59" s="154">
        <f>I59*fishandmeatvalue</f>
        <v>4.5711199489370056E-3</v>
      </c>
      <c r="M59" s="168"/>
      <c r="N59" s="166"/>
      <c r="O59" s="169"/>
      <c r="P59" s="169"/>
    </row>
    <row r="60" spans="1:16">
      <c r="A60" s="148" t="s">
        <v>168</v>
      </c>
      <c r="B60" s="148" t="s">
        <v>161</v>
      </c>
      <c r="C60" s="149" t="s">
        <v>7</v>
      </c>
      <c r="D60" s="148" t="s">
        <v>170</v>
      </c>
      <c r="E60" s="148">
        <f>0.015*1500000000000</f>
        <v>22500000000</v>
      </c>
      <c r="F60" s="148">
        <v>2</v>
      </c>
      <c r="G60" s="148">
        <f>1/(37200000000*46/14)*0.31</f>
        <v>2.5362318840579709E-12</v>
      </c>
      <c r="H60" s="148">
        <v>2</v>
      </c>
      <c r="I60" s="154">
        <f t="shared" si="5"/>
        <v>5.7065217391304345E-2</v>
      </c>
      <c r="J60" s="153"/>
      <c r="K60" s="154">
        <f>I60*woodvalue</f>
        <v>2.2826086956521737E-3</v>
      </c>
      <c r="M60" s="168"/>
      <c r="N60" s="166"/>
      <c r="O60" s="169"/>
      <c r="P60" s="169"/>
    </row>
    <row r="61" spans="1:16">
      <c r="A61" s="148" t="s">
        <v>168</v>
      </c>
      <c r="B61" s="148" t="s">
        <v>161</v>
      </c>
      <c r="C61" s="149" t="s">
        <v>7</v>
      </c>
      <c r="D61" s="149" t="s">
        <v>663</v>
      </c>
      <c r="E61" s="148">
        <f>-0.4*0.5*0.5*0.89*14/46*100</f>
        <v>-2.7086956521739136</v>
      </c>
      <c r="F61" s="148">
        <v>2</v>
      </c>
      <c r="G61" s="148">
        <v>1</v>
      </c>
      <c r="H61" s="148">
        <v>1</v>
      </c>
      <c r="I61" s="154">
        <f t="shared" si="5"/>
        <v>-2.7086956521739136</v>
      </c>
      <c r="J61" s="153"/>
      <c r="K61" s="189">
        <f>I61*woodvalue</f>
        <v>-0.10834782608695655</v>
      </c>
      <c r="M61" s="168"/>
      <c r="N61" s="166"/>
      <c r="O61" s="169"/>
      <c r="P61" s="169"/>
    </row>
    <row r="62" spans="1:16">
      <c r="A62" s="148" t="s">
        <v>168</v>
      </c>
      <c r="B62" s="148" t="s">
        <v>161</v>
      </c>
      <c r="C62" s="149" t="s">
        <v>7</v>
      </c>
      <c r="D62" s="148" t="s">
        <v>530</v>
      </c>
      <c r="E62" s="158">
        <f>charco2woodgw</f>
        <v>0</v>
      </c>
      <c r="F62" s="153">
        <f>F17</f>
        <v>800000000000000</v>
      </c>
      <c r="G62" s="148">
        <v>-95</v>
      </c>
      <c r="H62" s="148">
        <v>1.3</v>
      </c>
      <c r="I62" s="154">
        <f t="shared" si="5"/>
        <v>0</v>
      </c>
      <c r="K62" s="154">
        <f>I62*woodvalue</f>
        <v>0</v>
      </c>
      <c r="M62" s="169"/>
      <c r="N62" s="166"/>
      <c r="O62" s="169"/>
      <c r="P62" s="169"/>
    </row>
    <row r="63" spans="1:16">
      <c r="A63" s="148" t="s">
        <v>168</v>
      </c>
      <c r="B63" s="148" t="s">
        <v>508</v>
      </c>
      <c r="C63" s="149" t="s">
        <v>7</v>
      </c>
      <c r="D63" s="148" t="s">
        <v>530</v>
      </c>
      <c r="E63" s="158">
        <f t="shared" ref="E63:E68" si="6">I18</f>
        <v>6.2789189189189187E-2</v>
      </c>
      <c r="F63" s="148">
        <v>4</v>
      </c>
      <c r="G63" s="148">
        <v>-95</v>
      </c>
      <c r="H63" s="148">
        <v>1.3</v>
      </c>
      <c r="I63" s="154">
        <f t="shared" si="5"/>
        <v>-5.9649729729729728</v>
      </c>
      <c r="K63" s="189">
        <f>I63*drinkingwatervalue</f>
        <v>-1.1929945945945946E-2</v>
      </c>
      <c r="M63" s="169"/>
      <c r="N63" s="166"/>
      <c r="O63" s="169"/>
      <c r="P63" s="169"/>
    </row>
    <row r="64" spans="1:16">
      <c r="A64" s="148" t="s">
        <v>168</v>
      </c>
      <c r="B64" s="148" t="s">
        <v>510</v>
      </c>
      <c r="C64" s="149" t="s">
        <v>7</v>
      </c>
      <c r="D64" s="148" t="s">
        <v>530</v>
      </c>
      <c r="E64" s="158">
        <f t="shared" si="6"/>
        <v>0.12557837837837837</v>
      </c>
      <c r="F64" s="148">
        <v>4</v>
      </c>
      <c r="G64" s="148">
        <v>-95</v>
      </c>
      <c r="H64" s="148">
        <v>1.3</v>
      </c>
      <c r="I64" s="154">
        <f t="shared" si="5"/>
        <v>-11.929945945945946</v>
      </c>
      <c r="J64" s="153"/>
      <c r="K64" s="189">
        <f>I64*irrigationwatervalue</f>
        <v>-1.1929945945945946E-2</v>
      </c>
      <c r="M64" s="168"/>
      <c r="N64" s="166"/>
      <c r="O64" s="169"/>
      <c r="P64" s="169"/>
    </row>
    <row r="65" spans="1:16">
      <c r="A65" s="148" t="s">
        <v>168</v>
      </c>
      <c r="B65" s="148" t="s">
        <v>511</v>
      </c>
      <c r="C65" s="149" t="s">
        <v>487</v>
      </c>
      <c r="D65" s="148" t="s">
        <v>530</v>
      </c>
      <c r="E65" s="158">
        <f t="shared" si="6"/>
        <v>3.1711711711711707E-7</v>
      </c>
      <c r="F65" s="148">
        <v>4</v>
      </c>
      <c r="G65" s="148">
        <v>-95</v>
      </c>
      <c r="H65" s="148">
        <v>1.3</v>
      </c>
      <c r="I65" s="154">
        <f t="shared" si="5"/>
        <v>-3.012612612612612E-5</v>
      </c>
      <c r="J65" s="153"/>
      <c r="K65" s="189">
        <f>I65*energy_access</f>
        <v>-8.4353153153153143E-2</v>
      </c>
      <c r="M65" s="168"/>
      <c r="N65" s="166"/>
      <c r="O65" s="169"/>
      <c r="P65" s="169"/>
    </row>
    <row r="66" spans="1:16">
      <c r="A66" s="148" t="s">
        <v>168</v>
      </c>
      <c r="B66" s="149" t="s">
        <v>513</v>
      </c>
      <c r="C66" s="149" t="s">
        <v>5</v>
      </c>
      <c r="D66" s="148" t="s">
        <v>530</v>
      </c>
      <c r="E66" s="158">
        <f t="shared" si="6"/>
        <v>1.9933075933075932E-8</v>
      </c>
      <c r="F66" s="148">
        <v>4</v>
      </c>
      <c r="G66" s="148">
        <v>-95</v>
      </c>
      <c r="H66" s="148">
        <v>1.3</v>
      </c>
      <c r="I66" s="154">
        <f t="shared" si="5"/>
        <v>-1.8936422136422135E-6</v>
      </c>
      <c r="K66" s="167">
        <f>I66*housingvalue</f>
        <v>-3.7872844272844272E-3</v>
      </c>
      <c r="M66" s="169"/>
      <c r="N66" s="166"/>
      <c r="O66" s="169"/>
      <c r="P66" s="169"/>
    </row>
    <row r="67" spans="1:16">
      <c r="A67" s="148" t="s">
        <v>168</v>
      </c>
      <c r="B67" s="169" t="s">
        <v>515</v>
      </c>
      <c r="C67" s="149" t="s">
        <v>523</v>
      </c>
      <c r="D67" s="148" t="s">
        <v>530</v>
      </c>
      <c r="E67" s="158">
        <f t="shared" si="6"/>
        <v>2.2651222651222648E-7</v>
      </c>
      <c r="F67" s="148">
        <v>4</v>
      </c>
      <c r="G67" s="148">
        <v>-95</v>
      </c>
      <c r="H67" s="148">
        <v>1.3</v>
      </c>
      <c r="I67" s="154">
        <f t="shared" si="5"/>
        <v>-2.1518661518661517E-5</v>
      </c>
      <c r="K67" s="189">
        <f>I67*migrationvalue</f>
        <v>-0.53796653796653793</v>
      </c>
      <c r="L67" s="190"/>
      <c r="M67" s="174"/>
      <c r="N67" s="166"/>
      <c r="O67" s="172"/>
      <c r="P67" s="169"/>
    </row>
    <row r="68" spans="1:16">
      <c r="A68" s="148" t="s">
        <v>168</v>
      </c>
      <c r="B68" s="148" t="s">
        <v>174</v>
      </c>
      <c r="C68" s="149" t="s">
        <v>505</v>
      </c>
      <c r="D68" s="148" t="s">
        <v>530</v>
      </c>
      <c r="E68" s="158">
        <f t="shared" si="6"/>
        <v>2.2651222651222649E-16</v>
      </c>
      <c r="F68" s="148">
        <v>4</v>
      </c>
      <c r="G68" s="148">
        <v>-95</v>
      </c>
      <c r="H68" s="148">
        <v>1.3</v>
      </c>
      <c r="I68" s="154">
        <f t="shared" si="5"/>
        <v>-2.1518661518661515E-14</v>
      </c>
      <c r="J68" s="153"/>
      <c r="K68" s="167">
        <f>I68*speciesvalue</f>
        <v>-1.2050450450450448E-3</v>
      </c>
      <c r="L68" s="191"/>
      <c r="M68" s="175"/>
      <c r="N68" s="176"/>
      <c r="O68" s="172"/>
      <c r="P68" s="169"/>
    </row>
    <row r="69" spans="1:16">
      <c r="A69" s="148" t="s">
        <v>168</v>
      </c>
      <c r="B69" s="148" t="s">
        <v>174</v>
      </c>
      <c r="C69" s="149" t="s">
        <v>505</v>
      </c>
      <c r="D69" s="149" t="s">
        <v>172</v>
      </c>
      <c r="E69" s="148">
        <v>7.0000000000000001E-3</v>
      </c>
      <c r="F69" s="148">
        <v>4</v>
      </c>
      <c r="G69" s="148">
        <f>1/(37200000000*46/14)*0.24</f>
        <v>1.9635343618513324E-12</v>
      </c>
      <c r="H69" s="148">
        <v>1.3</v>
      </c>
      <c r="I69" s="154">
        <f t="shared" si="5"/>
        <v>1.3744740532959327E-14</v>
      </c>
      <c r="J69" s="153"/>
      <c r="K69" s="167">
        <f>I69*speciesvalue</f>
        <v>7.6970546984572231E-4</v>
      </c>
      <c r="M69" s="177"/>
      <c r="N69" s="166"/>
      <c r="O69" s="169"/>
      <c r="P69" s="169"/>
    </row>
    <row r="70" spans="1:16">
      <c r="A70" s="148" t="s">
        <v>168</v>
      </c>
      <c r="B70" s="148" t="s">
        <v>159</v>
      </c>
      <c r="D70" s="148" t="s">
        <v>159</v>
      </c>
      <c r="I70" s="153"/>
      <c r="J70" s="153"/>
      <c r="L70" s="189">
        <f>SUM(K44:K69)</f>
        <v>-14.07161252757381</v>
      </c>
      <c r="M70" s="177"/>
      <c r="N70" s="176"/>
      <c r="O70" s="172"/>
      <c r="P70" s="177"/>
    </row>
    <row r="71" spans="1:16">
      <c r="I71" s="153"/>
      <c r="J71" s="153"/>
      <c r="M71" s="169"/>
      <c r="N71" s="166"/>
      <c r="O71" s="169"/>
      <c r="P71" s="169"/>
    </row>
    <row r="72" spans="1:16">
      <c r="A72" s="148" t="s">
        <v>179</v>
      </c>
      <c r="B72" s="148" t="s">
        <v>181</v>
      </c>
      <c r="I72" s="153"/>
      <c r="J72" s="153"/>
      <c r="L72" s="155">
        <f>0.941*NOxvalue</f>
        <v>-13.241387388446954</v>
      </c>
      <c r="M72" s="169"/>
      <c r="N72" s="166"/>
      <c r="O72" s="169"/>
      <c r="P72" s="169"/>
    </row>
    <row r="73" spans="1:16">
      <c r="A73" s="148" t="s">
        <v>180</v>
      </c>
      <c r="B73" s="148" t="s">
        <v>182</v>
      </c>
      <c r="I73" s="153"/>
      <c r="J73" s="153"/>
      <c r="L73" s="155">
        <f>0.73*NOxvalue</f>
        <v>-10.272277145128882</v>
      </c>
      <c r="M73" s="169"/>
      <c r="N73" s="166"/>
      <c r="O73" s="169"/>
      <c r="P73" s="169"/>
    </row>
    <row r="74" spans="1:16">
      <c r="I74" s="153"/>
      <c r="J74" s="153"/>
      <c r="M74" s="169"/>
      <c r="N74" s="166"/>
      <c r="O74" s="169"/>
      <c r="P74" s="169"/>
    </row>
    <row r="75" spans="1:16">
      <c r="A75" s="148" t="s">
        <v>183</v>
      </c>
      <c r="B75" s="148" t="s">
        <v>4</v>
      </c>
      <c r="C75" s="149" t="s">
        <v>5</v>
      </c>
      <c r="D75" s="149" t="s">
        <v>530</v>
      </c>
      <c r="E75" s="161">
        <f>charco2yoll</f>
        <v>6.4889229343629337E-7</v>
      </c>
      <c r="F75" s="148">
        <f>F5</f>
        <v>3</v>
      </c>
      <c r="G75" s="148">
        <v>264.8</v>
      </c>
      <c r="H75" s="148">
        <v>1.1000000000000001</v>
      </c>
      <c r="I75" s="154">
        <f>E75*G75</f>
        <v>1.7182667930193049E-4</v>
      </c>
      <c r="J75" s="153"/>
      <c r="K75" s="155">
        <f>I75*YOLLvalue</f>
        <v>8.5913339650965241</v>
      </c>
      <c r="M75" s="169"/>
      <c r="N75" s="166"/>
      <c r="O75" s="169"/>
      <c r="P75" s="169"/>
    </row>
    <row r="76" spans="1:16">
      <c r="A76" s="148" t="s">
        <v>183</v>
      </c>
      <c r="B76" s="148" t="s">
        <v>4</v>
      </c>
      <c r="C76" s="149" t="s">
        <v>5</v>
      </c>
      <c r="D76" s="149" t="s">
        <v>1011</v>
      </c>
      <c r="E76" s="158">
        <v>1.7899999999999999E-4</v>
      </c>
      <c r="F76" s="148">
        <v>3</v>
      </c>
      <c r="G76" s="148">
        <v>1.7000000000000001E-2</v>
      </c>
      <c r="H76" s="148">
        <v>1.5</v>
      </c>
      <c r="I76" s="154">
        <f>E76*G76</f>
        <v>3.0429999999999999E-6</v>
      </c>
      <c r="J76" s="153"/>
      <c r="K76" s="155">
        <f>I76*YOLLvalue</f>
        <v>0.15215000000000001</v>
      </c>
      <c r="M76" s="169"/>
      <c r="N76" s="166"/>
      <c r="O76" s="169"/>
      <c r="P76" s="169"/>
    </row>
    <row r="77" spans="1:16">
      <c r="A77" s="148" t="s">
        <v>183</v>
      </c>
      <c r="B77" s="149" t="s">
        <v>519</v>
      </c>
      <c r="C77" s="149" t="s">
        <v>5</v>
      </c>
      <c r="D77" s="149" t="s">
        <v>530</v>
      </c>
      <c r="E77" s="158">
        <f>I9</f>
        <v>2.3919691119691116E-6</v>
      </c>
      <c r="F77" s="148">
        <f>F9</f>
        <v>2</v>
      </c>
      <c r="G77" s="148">
        <v>264.8</v>
      </c>
      <c r="H77" s="148">
        <v>1.1000000000000001</v>
      </c>
      <c r="I77" s="154">
        <f>E77*G77</f>
        <v>6.3339342084942074E-4</v>
      </c>
      <c r="J77" s="153"/>
      <c r="K77" s="155">
        <f>I77*malnutrition</f>
        <v>6.0489071691119678</v>
      </c>
      <c r="M77" s="168"/>
      <c r="N77" s="166"/>
      <c r="O77" s="169"/>
      <c r="P77" s="169"/>
    </row>
    <row r="78" spans="1:16">
      <c r="A78" s="148" t="s">
        <v>183</v>
      </c>
      <c r="B78" s="149" t="s">
        <v>661</v>
      </c>
      <c r="C78" s="149" t="s">
        <v>5</v>
      </c>
      <c r="D78" s="149" t="s">
        <v>530</v>
      </c>
      <c r="E78" s="158">
        <f>I10</f>
        <v>1.1660849420849419E-6</v>
      </c>
      <c r="F78" s="148">
        <f>F10</f>
        <v>2</v>
      </c>
      <c r="G78" s="148">
        <v>264.8</v>
      </c>
      <c r="H78" s="148">
        <v>1.1000000000000001</v>
      </c>
      <c r="I78" s="154">
        <f t="shared" ref="I78:I89" si="7">E78*G78</f>
        <v>3.0877929266409263E-4</v>
      </c>
      <c r="J78" s="153"/>
      <c r="K78" s="155">
        <f>I78*working_capacity</f>
        <v>18.156222408648645</v>
      </c>
      <c r="M78" s="168"/>
      <c r="N78" s="166"/>
      <c r="O78" s="169"/>
      <c r="P78" s="169"/>
    </row>
    <row r="79" spans="1:16">
      <c r="A79" s="148" t="s">
        <v>183</v>
      </c>
      <c r="B79" s="149" t="s">
        <v>1548</v>
      </c>
      <c r="C79" s="149" t="s">
        <v>5</v>
      </c>
      <c r="D79" s="149" t="s">
        <v>530</v>
      </c>
      <c r="E79" s="158">
        <f>I11</f>
        <v>1.5946460746460745E-8</v>
      </c>
      <c r="F79" s="148">
        <f>F11</f>
        <v>2</v>
      </c>
      <c r="G79" s="148">
        <v>264.8</v>
      </c>
      <c r="H79" s="148">
        <v>1.1000000000000001</v>
      </c>
      <c r="I79" s="154">
        <f t="shared" si="7"/>
        <v>4.2226228056628055E-6</v>
      </c>
      <c r="J79" s="153"/>
      <c r="K79" s="155">
        <f>I79*diarrhea</f>
        <v>2.2168769729729729E-2</v>
      </c>
      <c r="M79" s="168"/>
      <c r="N79" s="166"/>
      <c r="O79" s="169"/>
      <c r="P79" s="169"/>
    </row>
    <row r="80" spans="1:16">
      <c r="A80" s="148" t="s">
        <v>183</v>
      </c>
      <c r="B80" s="149" t="s">
        <v>160</v>
      </c>
      <c r="C80" s="149" t="s">
        <v>7</v>
      </c>
      <c r="D80" s="149" t="s">
        <v>530</v>
      </c>
      <c r="E80" s="158">
        <f>J14</f>
        <v>1.0903898856840032E-2</v>
      </c>
      <c r="F80" s="148">
        <f>F12</f>
        <v>2</v>
      </c>
      <c r="G80" s="148">
        <v>264.8</v>
      </c>
      <c r="H80" s="148">
        <v>1.1000000000000001</v>
      </c>
      <c r="I80" s="154">
        <f t="shared" si="7"/>
        <v>2.8873524172912406</v>
      </c>
      <c r="J80" s="153"/>
      <c r="K80" s="155">
        <f>I80*cropvalue</f>
        <v>0.63521753180407292</v>
      </c>
      <c r="M80" s="168"/>
      <c r="N80" s="166"/>
      <c r="O80" s="169"/>
      <c r="P80" s="169"/>
    </row>
    <row r="81" spans="1:16">
      <c r="A81" s="148" t="s">
        <v>183</v>
      </c>
      <c r="B81" s="149" t="s">
        <v>529</v>
      </c>
      <c r="C81" s="149" t="s">
        <v>7</v>
      </c>
      <c r="D81" s="149" t="s">
        <v>530</v>
      </c>
      <c r="E81" s="158">
        <f t="shared" ref="E81:E89" si="8">I15</f>
        <v>1.3059096070860774E-3</v>
      </c>
      <c r="F81" s="148">
        <f t="shared" ref="F81:F89" si="9">F15</f>
        <v>2</v>
      </c>
      <c r="G81" s="148">
        <v>264.8</v>
      </c>
      <c r="H81" s="148">
        <v>1.1000000000000001</v>
      </c>
      <c r="I81" s="154">
        <f t="shared" si="7"/>
        <v>0.34580486395639332</v>
      </c>
      <c r="J81" s="153"/>
      <c r="K81" s="155">
        <f>I81*Fruitandveg_value</f>
        <v>0.13486389694299339</v>
      </c>
      <c r="M81" s="169"/>
      <c r="N81" s="166"/>
      <c r="O81" s="169"/>
      <c r="P81" s="169"/>
    </row>
    <row r="82" spans="1:16">
      <c r="A82" s="148" t="s">
        <v>183</v>
      </c>
      <c r="B82" s="149" t="s">
        <v>538</v>
      </c>
      <c r="C82" s="149" t="s">
        <v>7</v>
      </c>
      <c r="D82" s="149" t="s">
        <v>530</v>
      </c>
      <c r="E82" s="158">
        <f t="shared" si="8"/>
        <v>5.1444923915512154E-4</v>
      </c>
      <c r="F82" s="148">
        <f t="shared" si="9"/>
        <v>2</v>
      </c>
      <c r="G82" s="148">
        <v>264.8</v>
      </c>
      <c r="H82" s="148">
        <v>1.1000000000000001</v>
      </c>
      <c r="I82" s="154">
        <f t="shared" si="7"/>
        <v>0.13622615852827619</v>
      </c>
      <c r="J82" s="153"/>
      <c r="K82" s="155">
        <f>I82*fishandmeatvalue</f>
        <v>0.28607493290938002</v>
      </c>
      <c r="M82" s="168"/>
      <c r="N82" s="166"/>
      <c r="O82" s="169"/>
      <c r="P82" s="169"/>
    </row>
    <row r="83" spans="1:16">
      <c r="A83" s="148" t="s">
        <v>183</v>
      </c>
      <c r="B83" s="148" t="s">
        <v>161</v>
      </c>
      <c r="C83" s="149" t="s">
        <v>7</v>
      </c>
      <c r="D83" s="149" t="s">
        <v>530</v>
      </c>
      <c r="E83" s="158">
        <f t="shared" si="8"/>
        <v>0</v>
      </c>
      <c r="F83" s="153">
        <f t="shared" si="9"/>
        <v>800000000000000</v>
      </c>
      <c r="G83" s="148">
        <v>264.8</v>
      </c>
      <c r="H83" s="148">
        <v>1.1000000000000001</v>
      </c>
      <c r="I83" s="154">
        <f t="shared" si="7"/>
        <v>0</v>
      </c>
      <c r="J83" s="153"/>
      <c r="K83" s="155">
        <f>I83*woodvalue</f>
        <v>0</v>
      </c>
      <c r="M83" s="169"/>
      <c r="N83" s="166"/>
      <c r="O83" s="169"/>
      <c r="P83" s="169"/>
    </row>
    <row r="84" spans="1:16">
      <c r="A84" s="148" t="s">
        <v>183</v>
      </c>
      <c r="B84" s="148" t="s">
        <v>508</v>
      </c>
      <c r="C84" s="149" t="s">
        <v>7</v>
      </c>
      <c r="D84" s="149" t="s">
        <v>530</v>
      </c>
      <c r="E84" s="158">
        <f t="shared" si="8"/>
        <v>6.2789189189189187E-2</v>
      </c>
      <c r="F84" s="148">
        <f t="shared" si="9"/>
        <v>3</v>
      </c>
      <c r="G84" s="148">
        <v>264.8</v>
      </c>
      <c r="H84" s="148">
        <v>1.1000000000000001</v>
      </c>
      <c r="I84" s="154">
        <f t="shared" si="7"/>
        <v>16.626577297297299</v>
      </c>
      <c r="J84" s="153"/>
      <c r="K84" s="155">
        <f>I84*drinkingwatervalue</f>
        <v>3.3253154594594596E-2</v>
      </c>
      <c r="M84" s="169"/>
      <c r="N84" s="166"/>
      <c r="O84" s="169"/>
      <c r="P84" s="169"/>
    </row>
    <row r="85" spans="1:16">
      <c r="A85" s="148" t="s">
        <v>183</v>
      </c>
      <c r="B85" s="148" t="s">
        <v>510</v>
      </c>
      <c r="C85" s="149" t="s">
        <v>7</v>
      </c>
      <c r="D85" s="149" t="s">
        <v>530</v>
      </c>
      <c r="E85" s="158">
        <f t="shared" si="8"/>
        <v>0.12557837837837837</v>
      </c>
      <c r="F85" s="148">
        <f t="shared" si="9"/>
        <v>3</v>
      </c>
      <c r="G85" s="148">
        <v>264.8</v>
      </c>
      <c r="H85" s="148">
        <v>1.1000000000000001</v>
      </c>
      <c r="I85" s="154">
        <f t="shared" si="7"/>
        <v>33.253154594594598</v>
      </c>
      <c r="J85" s="153"/>
      <c r="K85" s="155">
        <f>I85*irrigationwatervalue</f>
        <v>3.3253154594594596E-2</v>
      </c>
      <c r="M85" s="169"/>
      <c r="N85" s="166"/>
      <c r="O85" s="169"/>
      <c r="P85" s="169"/>
    </row>
    <row r="86" spans="1:16">
      <c r="A86" s="148" t="s">
        <v>183</v>
      </c>
      <c r="B86" s="148" t="s">
        <v>511</v>
      </c>
      <c r="C86" s="149" t="s">
        <v>487</v>
      </c>
      <c r="D86" s="149" t="s">
        <v>530</v>
      </c>
      <c r="E86" s="158">
        <f t="shared" si="8"/>
        <v>3.1711711711711707E-7</v>
      </c>
      <c r="F86" s="148">
        <f t="shared" si="9"/>
        <v>4</v>
      </c>
      <c r="G86" s="148">
        <v>264.8</v>
      </c>
      <c r="H86" s="148">
        <v>1.1000000000000001</v>
      </c>
      <c r="I86" s="154">
        <f t="shared" si="7"/>
        <v>8.3972612612612604E-5</v>
      </c>
      <c r="J86" s="153"/>
      <c r="K86" s="155">
        <f>I86*energy_access</f>
        <v>0.2351233153153153</v>
      </c>
      <c r="M86" s="168"/>
      <c r="N86" s="166"/>
      <c r="O86" s="169"/>
      <c r="P86" s="169"/>
    </row>
    <row r="87" spans="1:16">
      <c r="A87" s="148" t="s">
        <v>183</v>
      </c>
      <c r="B87" s="149" t="s">
        <v>513</v>
      </c>
      <c r="C87" s="149" t="s">
        <v>5</v>
      </c>
      <c r="D87" s="149" t="s">
        <v>530</v>
      </c>
      <c r="E87" s="158">
        <f t="shared" si="8"/>
        <v>1.9933075933075932E-8</v>
      </c>
      <c r="F87" s="148">
        <f t="shared" si="9"/>
        <v>4</v>
      </c>
      <c r="G87" s="148">
        <v>264.8</v>
      </c>
      <c r="H87" s="148">
        <v>1.1000000000000001</v>
      </c>
      <c r="I87" s="154">
        <f t="shared" si="7"/>
        <v>5.2782785070785072E-6</v>
      </c>
      <c r="J87" s="153"/>
      <c r="K87" s="155">
        <f>I87*housingvalue</f>
        <v>1.0556557014157015E-2</v>
      </c>
      <c r="M87" s="169"/>
      <c r="N87" s="166"/>
      <c r="O87" s="169"/>
      <c r="P87" s="169"/>
    </row>
    <row r="88" spans="1:16">
      <c r="A88" s="148" t="s">
        <v>183</v>
      </c>
      <c r="B88" s="148" t="s">
        <v>515</v>
      </c>
      <c r="C88" s="149" t="s">
        <v>523</v>
      </c>
      <c r="D88" s="149" t="s">
        <v>530</v>
      </c>
      <c r="E88" s="158">
        <f t="shared" si="8"/>
        <v>2.2651222651222648E-7</v>
      </c>
      <c r="F88" s="148">
        <f t="shared" si="9"/>
        <v>4</v>
      </c>
      <c r="G88" s="148">
        <v>264.8</v>
      </c>
      <c r="H88" s="148">
        <v>1.1000000000000001</v>
      </c>
      <c r="I88" s="154">
        <f t="shared" si="7"/>
        <v>5.9980437580437574E-5</v>
      </c>
      <c r="J88" s="153"/>
      <c r="K88" s="155">
        <f>I88*migrationvalue</f>
        <v>1.4995109395109394</v>
      </c>
      <c r="M88" s="169"/>
      <c r="N88" s="166"/>
      <c r="O88" s="169"/>
      <c r="P88" s="169"/>
    </row>
    <row r="89" spans="1:16">
      <c r="A89" s="148" t="s">
        <v>183</v>
      </c>
      <c r="B89" s="148" t="s">
        <v>174</v>
      </c>
      <c r="C89" s="149" t="s">
        <v>505</v>
      </c>
      <c r="D89" s="149" t="s">
        <v>530</v>
      </c>
      <c r="E89" s="158">
        <f t="shared" si="8"/>
        <v>2.2651222651222649E-16</v>
      </c>
      <c r="F89" s="148">
        <f t="shared" si="9"/>
        <v>4</v>
      </c>
      <c r="G89" s="148">
        <v>264.8</v>
      </c>
      <c r="H89" s="148">
        <v>1.1000000000000001</v>
      </c>
      <c r="I89" s="154">
        <f t="shared" si="7"/>
        <v>5.9980437580437572E-14</v>
      </c>
      <c r="J89" s="153"/>
      <c r="K89" s="155">
        <f>I89*speciesvalue</f>
        <v>3.3589045045045039E-3</v>
      </c>
      <c r="M89" s="169"/>
      <c r="N89" s="166"/>
      <c r="O89" s="169"/>
      <c r="P89" s="169"/>
    </row>
    <row r="90" spans="1:16">
      <c r="A90" s="148" t="s">
        <v>183</v>
      </c>
      <c r="B90" s="148" t="s">
        <v>159</v>
      </c>
      <c r="D90" s="148" t="s">
        <v>159</v>
      </c>
      <c r="I90" s="153"/>
      <c r="J90" s="153"/>
      <c r="L90" s="155">
        <f>SUM(K75:K89)</f>
        <v>35.841994699777423</v>
      </c>
      <c r="M90" s="168"/>
      <c r="N90" s="166"/>
      <c r="O90" s="169"/>
      <c r="P90" s="169"/>
    </row>
    <row r="91" spans="1:16">
      <c r="M91" s="169"/>
      <c r="N91" s="171"/>
      <c r="O91" s="169"/>
      <c r="P91" s="169"/>
    </row>
    <row r="92" spans="1:16">
      <c r="A92" s="148" t="s">
        <v>175</v>
      </c>
      <c r="B92" s="148" t="s">
        <v>4</v>
      </c>
      <c r="C92" s="149" t="s">
        <v>5</v>
      </c>
      <c r="D92" s="148" t="s">
        <v>164</v>
      </c>
      <c r="E92" s="153">
        <f xml:space="preserve"> 0.006*30/10*0.516*7200000000/75*1/12</f>
        <v>74303.999999999985</v>
      </c>
      <c r="F92" s="148">
        <v>2</v>
      </c>
      <c r="G92" s="153">
        <f>1/110000000000</f>
        <v>9.0909090909090904E-12</v>
      </c>
      <c r="H92" s="148">
        <v>3</v>
      </c>
      <c r="I92" s="154">
        <f>E92*G92</f>
        <v>6.7549090909090896E-7</v>
      </c>
      <c r="K92" s="155">
        <f>I92*YOLLvalue</f>
        <v>3.3774545454545446E-2</v>
      </c>
      <c r="M92" s="169"/>
      <c r="N92" s="166"/>
      <c r="O92" s="169"/>
      <c r="P92" s="169"/>
    </row>
    <row r="93" spans="1:16">
      <c r="A93" s="148" t="s">
        <v>175</v>
      </c>
      <c r="B93" s="169" t="s">
        <v>4</v>
      </c>
      <c r="C93" s="188" t="s">
        <v>5</v>
      </c>
      <c r="D93" s="169" t="s">
        <v>169</v>
      </c>
      <c r="E93" s="158">
        <v>-9.928052089575288E-5</v>
      </c>
      <c r="F93" s="162">
        <f>F44</f>
        <v>4</v>
      </c>
      <c r="G93" s="153">
        <f>0.5*96/64</f>
        <v>0.75</v>
      </c>
      <c r="H93" s="148">
        <v>2</v>
      </c>
      <c r="I93" s="154">
        <f>E93*G93</f>
        <v>-7.4460390671814657E-5</v>
      </c>
      <c r="K93" s="155">
        <f>I93*YOLLvalue</f>
        <v>-3.7230195335907328</v>
      </c>
      <c r="M93" s="169"/>
      <c r="N93" s="171"/>
      <c r="O93" s="169"/>
      <c r="P93" s="169"/>
    </row>
    <row r="94" spans="1:16">
      <c r="A94" s="148" t="s">
        <v>175</v>
      </c>
      <c r="B94" s="148" t="s">
        <v>4</v>
      </c>
      <c r="C94" s="149" t="s">
        <v>5</v>
      </c>
      <c r="D94" s="148" t="s">
        <v>159</v>
      </c>
      <c r="I94" s="153"/>
      <c r="J94" s="154">
        <f>SUM(I92:I93)</f>
        <v>-7.3784899762723743E-5</v>
      </c>
      <c r="M94" s="168"/>
      <c r="N94" s="166"/>
      <c r="O94" s="169"/>
      <c r="P94" s="169"/>
    </row>
    <row r="95" spans="1:16">
      <c r="A95" s="148" t="s">
        <v>175</v>
      </c>
      <c r="B95" s="149" t="s">
        <v>558</v>
      </c>
      <c r="C95" s="149" t="s">
        <v>5</v>
      </c>
      <c r="D95" s="148" t="s">
        <v>169</v>
      </c>
      <c r="E95" s="158">
        <v>4.8297599999999996E-5</v>
      </c>
      <c r="F95" s="162">
        <f>F48</f>
        <v>3</v>
      </c>
      <c r="G95" s="153">
        <f>0.5*96/64</f>
        <v>0.75</v>
      </c>
      <c r="H95" s="148">
        <v>2</v>
      </c>
      <c r="I95" s="154">
        <f>E95*G95</f>
        <v>3.6223199999999996E-5</v>
      </c>
      <c r="K95" s="154">
        <f>I95*asthmacasesvalue</f>
        <v>7.7879879999999985E-2</v>
      </c>
      <c r="M95" s="169"/>
      <c r="N95" s="166"/>
      <c r="O95" s="169"/>
      <c r="P95" s="169"/>
    </row>
    <row r="96" spans="1:16">
      <c r="A96" s="148" t="s">
        <v>175</v>
      </c>
      <c r="B96" s="149" t="s">
        <v>558</v>
      </c>
      <c r="C96" s="149" t="s">
        <v>5</v>
      </c>
      <c r="D96" s="149" t="s">
        <v>164</v>
      </c>
      <c r="E96" s="153">
        <f xml:space="preserve"> 0.005*30/10*0.516*72000000000*0.01*3/365</f>
        <v>45803.835616438359</v>
      </c>
      <c r="F96" s="148">
        <v>2</v>
      </c>
      <c r="G96" s="153">
        <f>1/110000000000</f>
        <v>9.0909090909090904E-12</v>
      </c>
      <c r="H96" s="148">
        <v>3</v>
      </c>
      <c r="I96" s="154">
        <f>E96*G96</f>
        <v>4.1639850560398507E-7</v>
      </c>
      <c r="K96" s="154">
        <f>I96*asthmacasesvalue</f>
        <v>8.952567870485679E-4</v>
      </c>
      <c r="M96" s="169"/>
      <c r="N96" s="166"/>
      <c r="O96" s="169"/>
      <c r="P96" s="169"/>
    </row>
    <row r="97" spans="1:16">
      <c r="A97" s="148" t="s">
        <v>175</v>
      </c>
      <c r="B97" s="148" t="s">
        <v>538</v>
      </c>
      <c r="D97" s="148" t="s">
        <v>173</v>
      </c>
      <c r="E97" s="153">
        <f>200000000</f>
        <v>200000000</v>
      </c>
      <c r="F97" s="148">
        <v>2</v>
      </c>
      <c r="G97" s="153">
        <f>1/110000000000</f>
        <v>9.0909090909090904E-12</v>
      </c>
      <c r="H97" s="148">
        <v>3</v>
      </c>
      <c r="I97" s="154">
        <f>E97*G97</f>
        <v>1.8181818181818182E-3</v>
      </c>
      <c r="J97" s="153"/>
      <c r="K97" s="154">
        <f>I97*fishandmeatvalue</f>
        <v>3.8181818181818182E-3</v>
      </c>
      <c r="M97" s="168"/>
      <c r="N97" s="166"/>
      <c r="O97" s="169"/>
      <c r="P97" s="169"/>
    </row>
    <row r="98" spans="1:16">
      <c r="A98" s="148" t="s">
        <v>175</v>
      </c>
      <c r="B98" s="149" t="s">
        <v>519</v>
      </c>
      <c r="C98" s="149" t="s">
        <v>5</v>
      </c>
      <c r="D98" s="149" t="s">
        <v>530</v>
      </c>
      <c r="E98" s="158">
        <f>I9</f>
        <v>2.3919691119691116E-6</v>
      </c>
      <c r="F98" s="148">
        <v>3</v>
      </c>
      <c r="G98" s="148">
        <v>-38.4</v>
      </c>
      <c r="H98" s="148">
        <v>1.3</v>
      </c>
      <c r="I98" s="154">
        <f>E98*G98</f>
        <v>-9.1851613899613882E-5</v>
      </c>
      <c r="J98" s="153"/>
      <c r="K98" s="167">
        <f>I98*fishandmeatvalue</f>
        <v>-1.9288838918918915E-4</v>
      </c>
      <c r="M98" s="168"/>
      <c r="N98" s="166"/>
      <c r="O98" s="169"/>
      <c r="P98" s="169"/>
    </row>
    <row r="99" spans="1:16">
      <c r="A99" s="148" t="s">
        <v>175</v>
      </c>
      <c r="B99" s="188" t="s">
        <v>661</v>
      </c>
      <c r="C99" s="188" t="s">
        <v>5</v>
      </c>
      <c r="D99" s="188" t="s">
        <v>530</v>
      </c>
      <c r="E99" s="158">
        <f>I10</f>
        <v>1.1660849420849419E-6</v>
      </c>
      <c r="F99" s="148">
        <v>3</v>
      </c>
      <c r="G99" s="148">
        <v>-38.4</v>
      </c>
      <c r="H99" s="148">
        <v>1.3</v>
      </c>
      <c r="I99" s="154">
        <f t="shared" ref="I99:I111" si="10">E99*G99</f>
        <v>-4.4777661776061767E-5</v>
      </c>
      <c r="J99" s="153"/>
      <c r="K99" s="167">
        <f>I99*working_capacity</f>
        <v>-2.6329265124324319</v>
      </c>
      <c r="M99" s="168"/>
      <c r="N99" s="171"/>
      <c r="O99" s="169"/>
      <c r="P99" s="169"/>
    </row>
    <row r="100" spans="1:16">
      <c r="A100" s="148" t="s">
        <v>175</v>
      </c>
      <c r="B100" s="149" t="s">
        <v>1548</v>
      </c>
      <c r="C100" s="149" t="s">
        <v>5</v>
      </c>
      <c r="D100" s="149" t="s">
        <v>530</v>
      </c>
      <c r="E100" s="158">
        <f>I11</f>
        <v>1.5946460746460745E-8</v>
      </c>
      <c r="F100" s="148">
        <v>3</v>
      </c>
      <c r="G100" s="148">
        <v>-38.4</v>
      </c>
      <c r="H100" s="148">
        <v>1.3</v>
      </c>
      <c r="I100" s="154">
        <f t="shared" si="10"/>
        <v>-6.1234409266409258E-7</v>
      </c>
      <c r="J100" s="153"/>
      <c r="K100" s="167">
        <f>I100*diarrhea</f>
        <v>-3.2148064864864863E-3</v>
      </c>
      <c r="M100" s="168"/>
      <c r="N100" s="166"/>
      <c r="O100" s="169"/>
      <c r="P100" s="169"/>
    </row>
    <row r="101" spans="1:16">
      <c r="A101" s="148" t="s">
        <v>175</v>
      </c>
      <c r="B101" s="149" t="s">
        <v>160</v>
      </c>
      <c r="C101" s="149" t="s">
        <v>7</v>
      </c>
      <c r="D101" s="149" t="s">
        <v>530</v>
      </c>
      <c r="E101" s="158">
        <f>J14</f>
        <v>1.0903898856840032E-2</v>
      </c>
      <c r="F101" s="148">
        <v>3</v>
      </c>
      <c r="G101" s="148">
        <v>-38.4</v>
      </c>
      <c r="H101" s="148">
        <v>1.3</v>
      </c>
      <c r="I101" s="154">
        <f t="shared" si="10"/>
        <v>-0.41870971610265723</v>
      </c>
      <c r="J101" s="153"/>
      <c r="K101" s="167">
        <f>I101*cropvalue</f>
        <v>-9.2116137542584589E-2</v>
      </c>
      <c r="M101" s="168"/>
      <c r="N101" s="166"/>
      <c r="O101" s="169"/>
      <c r="P101" s="169"/>
    </row>
    <row r="102" spans="1:16">
      <c r="A102" s="148" t="s">
        <v>175</v>
      </c>
      <c r="B102" s="149" t="s">
        <v>529</v>
      </c>
      <c r="C102" s="149" t="s">
        <v>7</v>
      </c>
      <c r="D102" s="149" t="s">
        <v>530</v>
      </c>
      <c r="E102" s="158">
        <f t="shared" ref="E102:E110" si="11">I15</f>
        <v>1.3059096070860774E-3</v>
      </c>
      <c r="F102" s="148">
        <v>3</v>
      </c>
      <c r="G102" s="148">
        <v>-38.4</v>
      </c>
      <c r="H102" s="148">
        <v>1.3</v>
      </c>
      <c r="I102" s="154">
        <f t="shared" si="10"/>
        <v>-5.0146928912105371E-2</v>
      </c>
      <c r="J102" s="153"/>
      <c r="K102" s="167">
        <f>I102*Fruitandveg_value</f>
        <v>-1.9557302275721094E-2</v>
      </c>
      <c r="M102" s="168"/>
      <c r="N102" s="166"/>
      <c r="O102" s="169"/>
      <c r="P102" s="169"/>
    </row>
    <row r="103" spans="1:16">
      <c r="A103" s="148" t="s">
        <v>175</v>
      </c>
      <c r="B103" s="149" t="s">
        <v>538</v>
      </c>
      <c r="C103" s="149" t="s">
        <v>7</v>
      </c>
      <c r="D103" s="149" t="s">
        <v>530</v>
      </c>
      <c r="E103" s="158">
        <f t="shared" si="11"/>
        <v>5.1444923915512154E-4</v>
      </c>
      <c r="F103" s="148">
        <v>3</v>
      </c>
      <c r="G103" s="148">
        <v>-38.4</v>
      </c>
      <c r="H103" s="148">
        <v>1.3</v>
      </c>
      <c r="I103" s="154">
        <f t="shared" si="10"/>
        <v>-1.9754850783556665E-2</v>
      </c>
      <c r="J103" s="153"/>
      <c r="K103" s="167">
        <f>I103*fishandmeatvalue</f>
        <v>-4.1485186645468998E-2</v>
      </c>
      <c r="M103" s="168"/>
      <c r="N103" s="166"/>
      <c r="O103" s="169"/>
      <c r="P103" s="169"/>
    </row>
    <row r="104" spans="1:16">
      <c r="A104" s="148" t="s">
        <v>175</v>
      </c>
      <c r="B104" s="148" t="s">
        <v>161</v>
      </c>
      <c r="C104" s="149" t="s">
        <v>7</v>
      </c>
      <c r="D104" s="149" t="s">
        <v>530</v>
      </c>
      <c r="E104" s="158">
        <f t="shared" si="11"/>
        <v>0</v>
      </c>
      <c r="F104" s="148">
        <v>3</v>
      </c>
      <c r="G104" s="148">
        <v>-38.4</v>
      </c>
      <c r="H104" s="148">
        <v>1.3</v>
      </c>
      <c r="I104" s="154">
        <f t="shared" si="10"/>
        <v>0</v>
      </c>
      <c r="J104" s="153"/>
      <c r="K104" s="154">
        <f>I104*woodvalue</f>
        <v>0</v>
      </c>
      <c r="M104" s="168"/>
      <c r="N104" s="166"/>
      <c r="O104" s="169"/>
      <c r="P104" s="169"/>
    </row>
    <row r="105" spans="1:16">
      <c r="A105" s="148" t="s">
        <v>175</v>
      </c>
      <c r="B105" s="148" t="s">
        <v>508</v>
      </c>
      <c r="C105" s="149" t="s">
        <v>7</v>
      </c>
      <c r="D105" s="149" t="s">
        <v>530</v>
      </c>
      <c r="E105" s="158">
        <f t="shared" si="11"/>
        <v>6.2789189189189187E-2</v>
      </c>
      <c r="F105" s="148">
        <v>3</v>
      </c>
      <c r="G105" s="148">
        <v>-38.4</v>
      </c>
      <c r="H105" s="148">
        <v>1.3</v>
      </c>
      <c r="I105" s="154">
        <f t="shared" si="10"/>
        <v>-2.4111048648648645</v>
      </c>
      <c r="J105" s="153"/>
      <c r="K105" s="167">
        <f>I105*drinkingwatervalue</f>
        <v>-4.8222097297297289E-3</v>
      </c>
      <c r="M105" s="168"/>
      <c r="N105" s="166"/>
      <c r="O105" s="169"/>
      <c r="P105" s="169"/>
    </row>
    <row r="106" spans="1:16">
      <c r="A106" s="148" t="s">
        <v>175</v>
      </c>
      <c r="B106" s="148" t="s">
        <v>510</v>
      </c>
      <c r="C106" s="149" t="s">
        <v>7</v>
      </c>
      <c r="D106" s="149" t="s">
        <v>530</v>
      </c>
      <c r="E106" s="158">
        <f t="shared" si="11"/>
        <v>0.12557837837837837</v>
      </c>
      <c r="F106" s="148">
        <v>3</v>
      </c>
      <c r="G106" s="148">
        <v>-38.4</v>
      </c>
      <c r="H106" s="148">
        <v>1.3</v>
      </c>
      <c r="I106" s="154">
        <f t="shared" si="10"/>
        <v>-4.8222097297297291</v>
      </c>
      <c r="J106" s="153"/>
      <c r="K106" s="167">
        <f>I106*irrigationwatervalue</f>
        <v>-4.8222097297297289E-3</v>
      </c>
      <c r="M106" s="168"/>
      <c r="N106" s="166"/>
      <c r="O106" s="169"/>
      <c r="P106" s="169"/>
    </row>
    <row r="107" spans="1:16">
      <c r="A107" s="148" t="s">
        <v>175</v>
      </c>
      <c r="B107" s="148" t="s">
        <v>511</v>
      </c>
      <c r="C107" s="149" t="s">
        <v>487</v>
      </c>
      <c r="D107" s="149" t="s">
        <v>530</v>
      </c>
      <c r="E107" s="158">
        <f t="shared" si="11"/>
        <v>3.1711711711711707E-7</v>
      </c>
      <c r="F107" s="148">
        <v>3</v>
      </c>
      <c r="G107" s="148">
        <v>-38.4</v>
      </c>
      <c r="H107" s="148">
        <v>1.3</v>
      </c>
      <c r="I107" s="154">
        <f t="shared" si="10"/>
        <v>-1.2177297297297295E-5</v>
      </c>
      <c r="J107" s="153"/>
      <c r="K107" s="167">
        <f>I107*energy_access</f>
        <v>-3.4096432432432426E-2</v>
      </c>
      <c r="M107" s="169"/>
      <c r="N107" s="166"/>
      <c r="O107" s="169"/>
      <c r="P107" s="169"/>
    </row>
    <row r="108" spans="1:16">
      <c r="A108" s="148" t="s">
        <v>175</v>
      </c>
      <c r="B108" s="149" t="s">
        <v>513</v>
      </c>
      <c r="C108" s="149" t="s">
        <v>5</v>
      </c>
      <c r="D108" s="149" t="s">
        <v>530</v>
      </c>
      <c r="E108" s="158">
        <f t="shared" si="11"/>
        <v>1.9933075933075932E-8</v>
      </c>
      <c r="F108" s="148">
        <v>3</v>
      </c>
      <c r="G108" s="148">
        <v>-38.4</v>
      </c>
      <c r="H108" s="148">
        <v>1.3</v>
      </c>
      <c r="I108" s="154">
        <f t="shared" si="10"/>
        <v>-7.6543011583011578E-7</v>
      </c>
      <c r="J108" s="153"/>
      <c r="K108" s="167">
        <f>I108*housingvalue</f>
        <v>-1.5308602316602316E-3</v>
      </c>
      <c r="M108" s="168"/>
      <c r="N108" s="166"/>
      <c r="O108" s="169"/>
      <c r="P108" s="169"/>
    </row>
    <row r="109" spans="1:16">
      <c r="A109" s="148" t="s">
        <v>175</v>
      </c>
      <c r="B109" s="149" t="s">
        <v>516</v>
      </c>
      <c r="C109" s="149" t="s">
        <v>523</v>
      </c>
      <c r="D109" s="149" t="s">
        <v>530</v>
      </c>
      <c r="E109" s="158">
        <f t="shared" si="11"/>
        <v>2.2651222651222648E-7</v>
      </c>
      <c r="F109" s="148">
        <v>3</v>
      </c>
      <c r="G109" s="148">
        <v>-38.4</v>
      </c>
      <c r="H109" s="148">
        <v>1.3</v>
      </c>
      <c r="I109" s="154">
        <f t="shared" si="10"/>
        <v>-8.6980694980694972E-6</v>
      </c>
      <c r="J109" s="153"/>
      <c r="K109" s="167">
        <f>I109*migrationvalue</f>
        <v>-0.21745173745173743</v>
      </c>
      <c r="M109" s="169"/>
      <c r="N109" s="166"/>
      <c r="O109" s="169"/>
      <c r="P109" s="169"/>
    </row>
    <row r="110" spans="1:16">
      <c r="A110" s="148" t="s">
        <v>175</v>
      </c>
      <c r="B110" s="148" t="s">
        <v>174</v>
      </c>
      <c r="C110" s="149" t="s">
        <v>505</v>
      </c>
      <c r="D110" s="149" t="s">
        <v>530</v>
      </c>
      <c r="E110" s="158">
        <f t="shared" si="11"/>
        <v>2.2651222651222649E-16</v>
      </c>
      <c r="F110" s="148">
        <v>3</v>
      </c>
      <c r="G110" s="148">
        <v>-38.4</v>
      </c>
      <c r="H110" s="148">
        <v>1.3</v>
      </c>
      <c r="I110" s="154">
        <f t="shared" si="10"/>
        <v>-8.6980694980694971E-15</v>
      </c>
      <c r="K110" s="167">
        <f>I110*speciesvalue</f>
        <v>-4.8709189189189182E-4</v>
      </c>
      <c r="M110" s="169"/>
      <c r="N110" s="166"/>
      <c r="O110" s="169"/>
      <c r="P110" s="169"/>
    </row>
    <row r="111" spans="1:16">
      <c r="A111" s="148" t="s">
        <v>175</v>
      </c>
      <c r="B111" s="148" t="s">
        <v>174</v>
      </c>
      <c r="C111" s="149" t="s">
        <v>505</v>
      </c>
      <c r="D111" s="148" t="s">
        <v>173</v>
      </c>
      <c r="E111" s="148">
        <v>2E-3</v>
      </c>
      <c r="F111" s="148">
        <v>2</v>
      </c>
      <c r="G111" s="153">
        <f>1/110000000000*3910/(2660+3910)</f>
        <v>5.4102670541026701E-12</v>
      </c>
      <c r="H111" s="148">
        <v>1.1000000000000001</v>
      </c>
      <c r="I111" s="154">
        <f t="shared" si="10"/>
        <v>1.082053410820534E-14</v>
      </c>
      <c r="K111" s="154">
        <f>I111*speciesvalue</f>
        <v>6.0594991005949905E-4</v>
      </c>
      <c r="L111" s="190"/>
      <c r="M111" s="174"/>
      <c r="N111" s="166"/>
      <c r="O111" s="169"/>
      <c r="P111" s="169"/>
    </row>
    <row r="112" spans="1:16">
      <c r="A112" s="148" t="s">
        <v>175</v>
      </c>
      <c r="B112" s="149" t="s">
        <v>666</v>
      </c>
      <c r="C112" s="149" t="s">
        <v>7</v>
      </c>
      <c r="D112" s="148" t="s">
        <v>176</v>
      </c>
      <c r="E112" s="153">
        <f>32000000000*0.4*0.05*1.2</f>
        <v>768000000</v>
      </c>
      <c r="F112" s="148">
        <v>3</v>
      </c>
      <c r="G112" s="153">
        <f>1/110000000000</f>
        <v>9.0909090909090904E-12</v>
      </c>
      <c r="H112" s="148">
        <v>1.1000000000000001</v>
      </c>
      <c r="I112" s="154">
        <f>E112*G112</f>
        <v>6.981818181818181E-3</v>
      </c>
      <c r="J112" s="153"/>
      <c r="K112" s="154">
        <f>I112*CO2value</f>
        <v>9.410121096343402E-4</v>
      </c>
      <c r="L112" s="191"/>
      <c r="M112" s="175"/>
      <c r="N112" s="166"/>
      <c r="O112" s="169"/>
      <c r="P112" s="169"/>
    </row>
    <row r="113" spans="1:16">
      <c r="A113" s="148" t="s">
        <v>175</v>
      </c>
      <c r="B113" s="148" t="s">
        <v>159</v>
      </c>
      <c r="D113" s="148" t="s">
        <v>159</v>
      </c>
      <c r="L113" s="189">
        <f>SUM(K92:K112)</f>
        <v>-6.657808082750325</v>
      </c>
      <c r="M113" s="169"/>
      <c r="N113" s="166"/>
      <c r="O113" s="169"/>
      <c r="P113" s="169"/>
    </row>
    <row r="114" spans="1:16">
      <c r="M114" s="169"/>
      <c r="N114" s="166"/>
      <c r="O114" s="169"/>
      <c r="P114" s="169"/>
    </row>
    <row r="115" spans="1:16">
      <c r="A115" s="148" t="s">
        <v>184</v>
      </c>
      <c r="B115" s="148" t="s">
        <v>159</v>
      </c>
      <c r="C115" s="148" t="s">
        <v>667</v>
      </c>
      <c r="D115" s="148" t="s">
        <v>185</v>
      </c>
      <c r="E115" s="158">
        <f>L113</f>
        <v>-6.657808082750325</v>
      </c>
      <c r="F115" s="148">
        <v>4</v>
      </c>
      <c r="G115" s="153">
        <f>64/34</f>
        <v>1.8823529411764706</v>
      </c>
      <c r="H115" s="148">
        <v>1.2</v>
      </c>
      <c r="I115" s="154">
        <f>E115*G115</f>
        <v>-12.532344626353552</v>
      </c>
      <c r="J115" s="153"/>
      <c r="K115" s="155">
        <f>I115</f>
        <v>-12.532344626353552</v>
      </c>
      <c r="L115" s="155">
        <f>K115</f>
        <v>-12.532344626353552</v>
      </c>
      <c r="M115" s="168"/>
      <c r="N115" s="166"/>
      <c r="O115" s="169"/>
      <c r="P115" s="169"/>
    </row>
    <row r="116" spans="1:16">
      <c r="M116" s="169"/>
      <c r="N116" s="166"/>
      <c r="O116" s="169"/>
      <c r="P116" s="169"/>
    </row>
    <row r="117" spans="1:16">
      <c r="A117" s="148" t="s">
        <v>186</v>
      </c>
      <c r="B117" s="148" t="s">
        <v>4</v>
      </c>
      <c r="C117" s="149" t="s">
        <v>5</v>
      </c>
      <c r="D117" s="148" t="s">
        <v>668</v>
      </c>
      <c r="E117" s="158">
        <v>-9.928052089575288E-5</v>
      </c>
      <c r="F117" s="159">
        <v>3.6656305802779316</v>
      </c>
      <c r="G117" s="153">
        <f>19/20</f>
        <v>0.95</v>
      </c>
      <c r="H117" s="148">
        <v>1.1000000000000001</v>
      </c>
      <c r="I117" s="154">
        <f>E117*G117</f>
        <v>-9.4316494850965227E-5</v>
      </c>
      <c r="J117" s="153"/>
      <c r="K117" s="155">
        <f>I117*YOLLvalue</f>
        <v>-4.7158247425482616</v>
      </c>
      <c r="M117" s="168"/>
      <c r="N117" s="166"/>
      <c r="O117" s="169"/>
      <c r="P117" s="169"/>
    </row>
    <row r="118" spans="1:16">
      <c r="A118" s="148" t="s">
        <v>186</v>
      </c>
      <c r="B118" s="149" t="s">
        <v>558</v>
      </c>
      <c r="C118" s="149" t="s">
        <v>5</v>
      </c>
      <c r="D118" s="148" t="s">
        <v>668</v>
      </c>
      <c r="E118" s="158">
        <v>4.8297599999999996E-5</v>
      </c>
      <c r="F118" s="159">
        <v>4.7288043878374149</v>
      </c>
      <c r="G118" s="153">
        <f t="shared" ref="G118:G132" si="12">19/20</f>
        <v>0.95</v>
      </c>
      <c r="H118" s="148">
        <v>1.1000000000000001</v>
      </c>
      <c r="I118" s="154">
        <f t="shared" ref="I118:I135" si="13">E118*G118</f>
        <v>4.5882719999999995E-5</v>
      </c>
      <c r="J118" s="153"/>
      <c r="K118" s="155">
        <f>I118*asthmacasesvalue</f>
        <v>9.8647847999999982E-2</v>
      </c>
      <c r="M118" s="168"/>
      <c r="N118" s="166"/>
      <c r="O118" s="169"/>
      <c r="P118" s="169"/>
    </row>
    <row r="119" spans="1:16">
      <c r="A119" s="148" t="s">
        <v>186</v>
      </c>
      <c r="B119" s="149" t="s">
        <v>658</v>
      </c>
      <c r="C119" s="149" t="s">
        <v>5</v>
      </c>
      <c r="D119" s="148" t="s">
        <v>668</v>
      </c>
      <c r="E119" s="158">
        <v>3.7699999999999999E-6</v>
      </c>
      <c r="F119" s="159">
        <v>4.7288043878374149</v>
      </c>
      <c r="G119" s="153">
        <f t="shared" si="12"/>
        <v>0.95</v>
      </c>
      <c r="H119" s="148">
        <v>1.1000000000000001</v>
      </c>
      <c r="I119" s="154">
        <f t="shared" si="13"/>
        <v>3.5814999999999999E-6</v>
      </c>
      <c r="J119" s="153"/>
      <c r="K119" s="155">
        <f>I119*COPDvalue</f>
        <v>6.8585725E-2</v>
      </c>
      <c r="M119" s="168"/>
      <c r="N119" s="166"/>
      <c r="O119" s="169"/>
      <c r="P119" s="169"/>
    </row>
    <row r="120" spans="1:16">
      <c r="A120" s="148" t="s">
        <v>186</v>
      </c>
      <c r="B120" s="149" t="s">
        <v>519</v>
      </c>
      <c r="C120" s="149" t="s">
        <v>5</v>
      </c>
      <c r="D120" s="148" t="s">
        <v>668</v>
      </c>
      <c r="E120" s="158">
        <v>-3.6597127413127409E-4</v>
      </c>
      <c r="F120" s="159">
        <v>3.6656305802779316</v>
      </c>
      <c r="G120" s="153">
        <f t="shared" si="12"/>
        <v>0.95</v>
      </c>
      <c r="H120" s="148">
        <v>1.1000000000000001</v>
      </c>
      <c r="I120" s="154">
        <f t="shared" si="13"/>
        <v>-3.4767271042471037E-4</v>
      </c>
      <c r="J120" s="153"/>
      <c r="K120" s="155">
        <f>I120*malnutrition</f>
        <v>-3.3202743845559839</v>
      </c>
      <c r="M120" s="168"/>
      <c r="N120" s="166"/>
      <c r="O120" s="169"/>
      <c r="P120" s="169"/>
    </row>
    <row r="121" spans="1:16">
      <c r="A121" s="148" t="s">
        <v>186</v>
      </c>
      <c r="B121" s="149" t="s">
        <v>661</v>
      </c>
      <c r="C121" s="149" t="s">
        <v>5</v>
      </c>
      <c r="D121" s="148" t="s">
        <v>668</v>
      </c>
      <c r="E121" s="158">
        <v>-3.6597127413127409E-4</v>
      </c>
      <c r="F121" s="159">
        <v>3.6656305802779316</v>
      </c>
      <c r="G121" s="153">
        <f t="shared" si="12"/>
        <v>0.95</v>
      </c>
      <c r="H121" s="148">
        <v>1.1000000000000001</v>
      </c>
      <c r="I121" s="154">
        <f t="shared" si="13"/>
        <v>-3.4767271042471037E-4</v>
      </c>
      <c r="J121" s="153"/>
      <c r="K121" s="155">
        <f>I121*working_capacity</f>
        <v>-20.443155372972971</v>
      </c>
      <c r="M121" s="168"/>
      <c r="N121" s="166"/>
      <c r="O121" s="169"/>
      <c r="P121" s="169"/>
    </row>
    <row r="122" spans="1:16">
      <c r="A122" s="148" t="s">
        <v>186</v>
      </c>
      <c r="B122" s="149" t="s">
        <v>1548</v>
      </c>
      <c r="C122" s="149" t="s">
        <v>5</v>
      </c>
      <c r="D122" s="148" t="s">
        <v>668</v>
      </c>
      <c r="E122" s="158">
        <v>-2.4398084942084942E-6</v>
      </c>
      <c r="F122" s="159">
        <v>3.6656305802779316</v>
      </c>
      <c r="G122" s="153">
        <f t="shared" si="12"/>
        <v>0.95</v>
      </c>
      <c r="H122" s="148">
        <v>1.1000000000000001</v>
      </c>
      <c r="I122" s="154">
        <f t="shared" si="13"/>
        <v>-2.3178180694980692E-6</v>
      </c>
      <c r="J122" s="153"/>
      <c r="K122" s="155">
        <f>I122*diarrhea</f>
        <v>-1.2168544864864864E-2</v>
      </c>
      <c r="M122" s="168"/>
      <c r="N122" s="166"/>
      <c r="O122" s="169"/>
      <c r="P122" s="169"/>
    </row>
    <row r="123" spans="1:16">
      <c r="A123" s="148" t="s">
        <v>186</v>
      </c>
      <c r="B123" s="149" t="s">
        <v>160</v>
      </c>
      <c r="C123" s="149" t="s">
        <v>7</v>
      </c>
      <c r="D123" s="148" t="s">
        <v>668</v>
      </c>
      <c r="E123" s="158">
        <v>-1.6682965250965249</v>
      </c>
      <c r="F123" s="159">
        <v>3.6656305802779316</v>
      </c>
      <c r="G123" s="153">
        <f t="shared" si="12"/>
        <v>0.95</v>
      </c>
      <c r="H123" s="148">
        <v>1.1000000000000001</v>
      </c>
      <c r="I123" s="154">
        <f t="shared" si="13"/>
        <v>-1.5848816988416987</v>
      </c>
      <c r="J123" s="153"/>
      <c r="K123" s="155">
        <f>I123*cropvalue</f>
        <v>-0.34867397374517373</v>
      </c>
      <c r="M123" s="168"/>
      <c r="N123" s="166"/>
      <c r="O123" s="169"/>
      <c r="P123" s="169"/>
    </row>
    <row r="124" spans="1:16">
      <c r="A124" s="148" t="s">
        <v>186</v>
      </c>
      <c r="B124" s="149" t="s">
        <v>529</v>
      </c>
      <c r="C124" s="149" t="s">
        <v>7</v>
      </c>
      <c r="D124" s="148" t="s">
        <v>668</v>
      </c>
      <c r="E124" s="158">
        <v>-0.19980416988416985</v>
      </c>
      <c r="F124" s="159">
        <v>3.6656305802779316</v>
      </c>
      <c r="G124" s="153">
        <f t="shared" si="12"/>
        <v>0.95</v>
      </c>
      <c r="H124" s="148">
        <v>1.1000000000000001</v>
      </c>
      <c r="I124" s="154">
        <f t="shared" si="13"/>
        <v>-0.18981396138996134</v>
      </c>
      <c r="J124" s="153"/>
      <c r="K124" s="155">
        <f>I124*Fruitandveg_value</f>
        <v>-7.4027444942084922E-2</v>
      </c>
      <c r="M124" s="168"/>
      <c r="N124" s="166"/>
      <c r="O124" s="169"/>
      <c r="P124" s="169"/>
    </row>
    <row r="125" spans="1:16">
      <c r="A125" s="148" t="s">
        <v>186</v>
      </c>
      <c r="B125" s="149" t="s">
        <v>538</v>
      </c>
      <c r="C125" s="149" t="s">
        <v>7</v>
      </c>
      <c r="D125" s="148" t="s">
        <v>668</v>
      </c>
      <c r="E125" s="158">
        <v>-7.8710733590733592E-2</v>
      </c>
      <c r="F125" s="159">
        <v>3.6656305802779316</v>
      </c>
      <c r="G125" s="153">
        <f t="shared" si="12"/>
        <v>0.95</v>
      </c>
      <c r="H125" s="148">
        <v>1.1000000000000001</v>
      </c>
      <c r="I125" s="154">
        <f t="shared" si="13"/>
        <v>-7.4775196911196912E-2</v>
      </c>
      <c r="J125" s="153"/>
      <c r="K125" s="155">
        <f>I125*fishandmeatvalue</f>
        <v>-0.15702791351351353</v>
      </c>
      <c r="M125" s="168"/>
      <c r="N125" s="166"/>
      <c r="O125" s="169"/>
      <c r="P125" s="169"/>
    </row>
    <row r="126" spans="1:16">
      <c r="A126" s="148" t="s">
        <v>186</v>
      </c>
      <c r="B126" s="148" t="s">
        <v>161</v>
      </c>
      <c r="C126" s="149" t="s">
        <v>7</v>
      </c>
      <c r="D126" s="148" t="s">
        <v>668</v>
      </c>
      <c r="E126" s="158">
        <v>0</v>
      </c>
      <c r="F126" s="159">
        <v>6.3246562435360429</v>
      </c>
      <c r="G126" s="153">
        <f t="shared" si="12"/>
        <v>0.95</v>
      </c>
      <c r="H126" s="148">
        <v>1.1000000000000001</v>
      </c>
      <c r="I126" s="154">
        <f t="shared" si="13"/>
        <v>0</v>
      </c>
      <c r="J126" s="153"/>
      <c r="K126" s="155">
        <f>I126*woodvalue</f>
        <v>0</v>
      </c>
      <c r="M126" s="168"/>
      <c r="N126" s="166"/>
      <c r="O126" s="169"/>
      <c r="P126" s="169"/>
    </row>
    <row r="127" spans="1:16">
      <c r="A127" s="148" t="s">
        <v>186</v>
      </c>
      <c r="B127" s="148" t="s">
        <v>508</v>
      </c>
      <c r="C127" s="149" t="s">
        <v>7</v>
      </c>
      <c r="D127" s="148" t="s">
        <v>668</v>
      </c>
      <c r="E127" s="158">
        <v>-9.6067459459459457</v>
      </c>
      <c r="F127" s="159">
        <v>3.6656305802779316</v>
      </c>
      <c r="G127" s="153">
        <f t="shared" si="12"/>
        <v>0.95</v>
      </c>
      <c r="H127" s="148">
        <v>1.1000000000000001</v>
      </c>
      <c r="I127" s="154">
        <f t="shared" si="13"/>
        <v>-9.1264086486486473</v>
      </c>
      <c r="J127" s="153"/>
      <c r="K127" s="155">
        <f>I127*drinkingwatervalue</f>
        <v>-1.8252817297297295E-2</v>
      </c>
      <c r="M127" s="168"/>
      <c r="N127" s="166"/>
      <c r="O127" s="169"/>
      <c r="P127" s="169"/>
    </row>
    <row r="128" spans="1:16">
      <c r="A128" s="148" t="s">
        <v>186</v>
      </c>
      <c r="B128" s="148" t="s">
        <v>510</v>
      </c>
      <c r="C128" s="149" t="s">
        <v>7</v>
      </c>
      <c r="D128" s="148" t="s">
        <v>668</v>
      </c>
      <c r="E128" s="158">
        <v>-19.213491891891891</v>
      </c>
      <c r="F128" s="159">
        <v>3.6656305802779316</v>
      </c>
      <c r="G128" s="153">
        <f t="shared" si="12"/>
        <v>0.95</v>
      </c>
      <c r="H128" s="148">
        <v>1.1000000000000001</v>
      </c>
      <c r="I128" s="154">
        <f t="shared" si="13"/>
        <v>-18.252817297297295</v>
      </c>
      <c r="J128" s="153"/>
      <c r="K128" s="155">
        <f>I128*irrigationwatervalue</f>
        <v>-1.8252817297297295E-2</v>
      </c>
      <c r="M128" s="168"/>
      <c r="N128" s="166"/>
      <c r="O128" s="169"/>
      <c r="P128" s="169"/>
    </row>
    <row r="129" spans="1:16">
      <c r="A129" s="148" t="s">
        <v>186</v>
      </c>
      <c r="B129" s="148" t="s">
        <v>511</v>
      </c>
      <c r="C129" s="149" t="s">
        <v>487</v>
      </c>
      <c r="D129" s="148" t="s">
        <v>668</v>
      </c>
      <c r="E129" s="158">
        <v>-4.8518918918918909E-5</v>
      </c>
      <c r="F129" s="159">
        <v>3.6656305802779316</v>
      </c>
      <c r="G129" s="153">
        <f t="shared" si="12"/>
        <v>0.95</v>
      </c>
      <c r="H129" s="148">
        <v>1.1000000000000001</v>
      </c>
      <c r="I129" s="154">
        <f t="shared" si="13"/>
        <v>-4.6092972972972961E-5</v>
      </c>
      <c r="J129" s="153"/>
      <c r="K129" s="155">
        <f>I129*energy_access</f>
        <v>-0.12906032432432429</v>
      </c>
      <c r="M129" s="168"/>
      <c r="N129" s="166"/>
      <c r="O129" s="169"/>
      <c r="P129" s="169"/>
    </row>
    <row r="130" spans="1:16">
      <c r="A130" s="148" t="s">
        <v>186</v>
      </c>
      <c r="B130" s="149" t="s">
        <v>513</v>
      </c>
      <c r="C130" s="149" t="s">
        <v>5</v>
      </c>
      <c r="D130" s="148" t="s">
        <v>668</v>
      </c>
      <c r="E130" s="158">
        <v>-3.0497606177606176E-6</v>
      </c>
      <c r="F130" s="159">
        <v>3.6656305802779316</v>
      </c>
      <c r="G130" s="153">
        <f t="shared" si="12"/>
        <v>0.95</v>
      </c>
      <c r="H130" s="148">
        <v>1.1000000000000001</v>
      </c>
      <c r="I130" s="154">
        <f t="shared" si="13"/>
        <v>-2.8972725868725867E-6</v>
      </c>
      <c r="J130" s="153"/>
      <c r="K130" s="155">
        <f>I130*housingvalue</f>
        <v>-5.7945451737451735E-3</v>
      </c>
      <c r="M130" s="168"/>
      <c r="N130" s="166"/>
      <c r="O130" s="169"/>
      <c r="P130" s="169"/>
    </row>
    <row r="131" spans="1:16">
      <c r="A131" s="148" t="s">
        <v>186</v>
      </c>
      <c r="B131" s="149" t="s">
        <v>516</v>
      </c>
      <c r="C131" s="149" t="s">
        <v>523</v>
      </c>
      <c r="D131" s="148" t="s">
        <v>668</v>
      </c>
      <c r="E131" s="158">
        <v>-3.4656370656370649E-5</v>
      </c>
      <c r="F131" s="159">
        <v>3.6656305802779316</v>
      </c>
      <c r="G131" s="153">
        <f t="shared" si="12"/>
        <v>0.95</v>
      </c>
      <c r="H131" s="148">
        <v>1.1000000000000001</v>
      </c>
      <c r="I131" s="154">
        <f t="shared" si="13"/>
        <v>-3.2923552123552115E-5</v>
      </c>
      <c r="J131" s="153"/>
      <c r="K131" s="155">
        <f>I131*migrationvalue</f>
        <v>-0.82308880308880283</v>
      </c>
      <c r="M131" s="168"/>
      <c r="N131" s="166"/>
      <c r="O131" s="169"/>
      <c r="P131" s="169"/>
    </row>
    <row r="132" spans="1:16">
      <c r="A132" s="148" t="s">
        <v>186</v>
      </c>
      <c r="B132" s="148" t="s">
        <v>174</v>
      </c>
      <c r="C132" s="149" t="s">
        <v>505</v>
      </c>
      <c r="D132" s="148" t="s">
        <v>668</v>
      </c>
      <c r="E132" s="158">
        <v>-3.4656370656370654E-14</v>
      </c>
      <c r="F132" s="159">
        <v>3.6656305802779316</v>
      </c>
      <c r="G132" s="153">
        <f t="shared" si="12"/>
        <v>0.95</v>
      </c>
      <c r="H132" s="148">
        <v>1.1000000000000001</v>
      </c>
      <c r="I132" s="154">
        <f t="shared" si="13"/>
        <v>-3.2923552123552119E-14</v>
      </c>
      <c r="J132" s="153"/>
      <c r="K132" s="155">
        <f>I132*speciesvalue</f>
        <v>-1.8437189189189187E-3</v>
      </c>
      <c r="M132" s="169"/>
      <c r="N132" s="166"/>
      <c r="O132" s="169"/>
      <c r="P132" s="169"/>
    </row>
    <row r="133" spans="1:16">
      <c r="A133" s="148" t="s">
        <v>186</v>
      </c>
      <c r="B133" s="148" t="s">
        <v>538</v>
      </c>
      <c r="C133" s="149" t="s">
        <v>7</v>
      </c>
      <c r="D133" s="148" t="s">
        <v>173</v>
      </c>
      <c r="E133" s="158">
        <f>I97</f>
        <v>1.8181818181818182E-3</v>
      </c>
      <c r="F133" s="159">
        <f>EXP(SQRT(LN(F97)^2+LN(H97)^2))</f>
        <v>3.6656305802779316</v>
      </c>
      <c r="G133" s="153">
        <f>64/(2*20)</f>
        <v>1.6</v>
      </c>
      <c r="H133" s="148">
        <v>1.1000000000000001</v>
      </c>
      <c r="I133" s="154">
        <f t="shared" si="13"/>
        <v>2.9090909090909093E-3</v>
      </c>
      <c r="J133" s="153"/>
      <c r="K133" s="155">
        <f>I133*fishandmeatvalue</f>
        <v>6.1090909090909095E-3</v>
      </c>
      <c r="M133" s="168"/>
      <c r="N133" s="166"/>
      <c r="O133" s="169"/>
      <c r="P133" s="169"/>
    </row>
    <row r="134" spans="1:16">
      <c r="A134" s="148" t="s">
        <v>186</v>
      </c>
      <c r="B134" s="148" t="s">
        <v>174</v>
      </c>
      <c r="C134" s="149" t="s">
        <v>505</v>
      </c>
      <c r="D134" s="148" t="s">
        <v>173</v>
      </c>
      <c r="E134" s="158">
        <f>I111</f>
        <v>1.082053410820534E-14</v>
      </c>
      <c r="F134" s="159">
        <f>EXP(SQRT(LN(F111)^2+LN(H111)^2))</f>
        <v>2.0130867471709437</v>
      </c>
      <c r="G134" s="153">
        <f>64/(2*20)</f>
        <v>1.6</v>
      </c>
      <c r="H134" s="148">
        <v>1.1000000000000001</v>
      </c>
      <c r="I134" s="154">
        <f t="shared" si="13"/>
        <v>1.7312854573128546E-14</v>
      </c>
      <c r="K134" s="155">
        <f>I134*speciesvalue</f>
        <v>9.695198560951986E-4</v>
      </c>
      <c r="M134" s="169"/>
      <c r="N134" s="166"/>
      <c r="O134" s="169"/>
      <c r="P134" s="169"/>
    </row>
    <row r="135" spans="1:16">
      <c r="A135" s="148" t="s">
        <v>186</v>
      </c>
      <c r="B135" s="149" t="s">
        <v>666</v>
      </c>
      <c r="C135" s="149" t="s">
        <v>7</v>
      </c>
      <c r="D135" s="148" t="s">
        <v>176</v>
      </c>
      <c r="E135" s="158">
        <f>I112</f>
        <v>6.981818181818181E-3</v>
      </c>
      <c r="F135" s="159">
        <f>EXP(SQRT(LN(F99)^2+LN(H99)^2))</f>
        <v>3.0941278481682999</v>
      </c>
      <c r="G135" s="153">
        <f>64/(2*20)</f>
        <v>1.6</v>
      </c>
      <c r="H135" s="148">
        <v>1.1000000000000001</v>
      </c>
      <c r="I135" s="154">
        <f t="shared" si="13"/>
        <v>1.1170909090909091E-2</v>
      </c>
      <c r="K135" s="155">
        <f>I135*CO2value</f>
        <v>1.5056193754149445E-3</v>
      </c>
      <c r="M135" s="169"/>
      <c r="N135" s="166"/>
      <c r="O135" s="169"/>
      <c r="P135" s="169"/>
    </row>
    <row r="136" spans="1:16">
      <c r="A136" s="148" t="s">
        <v>186</v>
      </c>
      <c r="B136" s="148" t="s">
        <v>159</v>
      </c>
      <c r="D136" s="148" t="s">
        <v>159</v>
      </c>
      <c r="L136" s="155">
        <f>SUM(K117:K135)</f>
        <v>-29.891627600102641</v>
      </c>
      <c r="M136" s="169"/>
      <c r="N136" s="166"/>
      <c r="O136" s="169"/>
      <c r="P136" s="169"/>
    </row>
    <row r="137" spans="1:16">
      <c r="M137" s="169"/>
      <c r="N137" s="166"/>
      <c r="O137" s="169"/>
      <c r="P137" s="169"/>
    </row>
    <row r="138" spans="1:16">
      <c r="A138" s="148" t="s">
        <v>188</v>
      </c>
      <c r="B138" s="148" t="s">
        <v>4</v>
      </c>
      <c r="C138" s="149" t="s">
        <v>5</v>
      </c>
      <c r="D138" s="148" t="s">
        <v>668</v>
      </c>
      <c r="E138" s="158">
        <v>-9.928052089575288E-5</v>
      </c>
      <c r="F138" s="159">
        <f>F117</f>
        <v>3.6656305802779316</v>
      </c>
      <c r="G138" s="153">
        <f>35/36</f>
        <v>0.97222222222222221</v>
      </c>
      <c r="H138" s="162">
        <f>H117</f>
        <v>1.1000000000000001</v>
      </c>
      <c r="I138" s="154">
        <f>E138*G138</f>
        <v>-9.6522728648648629E-5</v>
      </c>
      <c r="J138" s="153"/>
      <c r="K138" s="155">
        <f>I138*YOLLvalue</f>
        <v>-4.8261364324324312</v>
      </c>
      <c r="M138" s="168"/>
      <c r="N138" s="166"/>
      <c r="O138" s="169"/>
      <c r="P138" s="169"/>
    </row>
    <row r="139" spans="1:16">
      <c r="A139" s="148" t="s">
        <v>188</v>
      </c>
      <c r="B139" s="149" t="s">
        <v>558</v>
      </c>
      <c r="C139" s="149" t="s">
        <v>5</v>
      </c>
      <c r="D139" s="148" t="s">
        <v>668</v>
      </c>
      <c r="E139" s="158">
        <v>4.8297599999999996E-5</v>
      </c>
      <c r="F139" s="159">
        <f t="shared" ref="F139:F156" si="14">F118</f>
        <v>4.7288043878374149</v>
      </c>
      <c r="G139" s="153">
        <f t="shared" ref="G139:G153" si="15">35/36</f>
        <v>0.97222222222222221</v>
      </c>
      <c r="H139" s="162">
        <f t="shared" ref="H139:H156" si="16">H118</f>
        <v>1.1000000000000001</v>
      </c>
      <c r="I139" s="154">
        <f t="shared" ref="I139:I156" si="17">E139*G139</f>
        <v>4.6955999999999996E-5</v>
      </c>
      <c r="J139" s="153"/>
      <c r="K139" s="155">
        <f>I139*asthmacasesvalue</f>
        <v>0.10095539999999999</v>
      </c>
      <c r="M139" s="168"/>
      <c r="N139" s="166"/>
      <c r="O139" s="169"/>
      <c r="P139" s="169"/>
    </row>
    <row r="140" spans="1:16">
      <c r="A140" s="148" t="s">
        <v>188</v>
      </c>
      <c r="B140" s="149" t="s">
        <v>658</v>
      </c>
      <c r="C140" s="149" t="s">
        <v>5</v>
      </c>
      <c r="D140" s="148" t="s">
        <v>668</v>
      </c>
      <c r="E140" s="158">
        <v>3.7699999999999999E-6</v>
      </c>
      <c r="F140" s="159">
        <f t="shared" si="14"/>
        <v>4.7288043878374149</v>
      </c>
      <c r="G140" s="153">
        <f t="shared" si="15"/>
        <v>0.97222222222222221</v>
      </c>
      <c r="H140" s="162">
        <f t="shared" si="16"/>
        <v>1.1000000000000001</v>
      </c>
      <c r="I140" s="154">
        <f t="shared" si="17"/>
        <v>3.6652777777777775E-6</v>
      </c>
      <c r="J140" s="153"/>
      <c r="K140" s="155">
        <f>I140*COPDvalue</f>
        <v>7.0190069444444433E-2</v>
      </c>
      <c r="M140" s="168"/>
      <c r="N140" s="166"/>
      <c r="O140" s="169"/>
      <c r="P140" s="169"/>
    </row>
    <row r="141" spans="1:16">
      <c r="A141" s="148" t="s">
        <v>188</v>
      </c>
      <c r="B141" s="149" t="s">
        <v>519</v>
      </c>
      <c r="C141" s="149" t="s">
        <v>5</v>
      </c>
      <c r="D141" s="148" t="s">
        <v>668</v>
      </c>
      <c r="E141" s="158">
        <v>-3.6597127413127409E-4</v>
      </c>
      <c r="F141" s="159">
        <f t="shared" si="14"/>
        <v>3.6656305802779316</v>
      </c>
      <c r="G141" s="153">
        <f t="shared" si="15"/>
        <v>0.97222222222222221</v>
      </c>
      <c r="H141" s="162">
        <f t="shared" si="16"/>
        <v>1.1000000000000001</v>
      </c>
      <c r="I141" s="154">
        <f t="shared" si="17"/>
        <v>-3.5580540540540537E-4</v>
      </c>
      <c r="J141" s="153"/>
      <c r="K141" s="155">
        <f>I141*malnutrition</f>
        <v>-3.3979416216216212</v>
      </c>
      <c r="M141" s="168"/>
      <c r="N141" s="166"/>
      <c r="O141" s="169"/>
      <c r="P141" s="169"/>
    </row>
    <row r="142" spans="1:16">
      <c r="A142" s="148" t="s">
        <v>188</v>
      </c>
      <c r="B142" s="149" t="s">
        <v>661</v>
      </c>
      <c r="C142" s="149" t="s">
        <v>5</v>
      </c>
      <c r="D142" s="148" t="s">
        <v>668</v>
      </c>
      <c r="E142" s="158">
        <v>-3.6597127413127409E-4</v>
      </c>
      <c r="F142" s="159">
        <f t="shared" si="14"/>
        <v>3.6656305802779316</v>
      </c>
      <c r="G142" s="153">
        <f t="shared" si="15"/>
        <v>0.97222222222222221</v>
      </c>
      <c r="H142" s="162">
        <f t="shared" si="16"/>
        <v>1.1000000000000001</v>
      </c>
      <c r="I142" s="154">
        <f t="shared" si="17"/>
        <v>-3.5580540540540537E-4</v>
      </c>
      <c r="J142" s="153"/>
      <c r="K142" s="155">
        <f>I142*working_capacity</f>
        <v>-20.921357837837835</v>
      </c>
      <c r="M142" s="168"/>
      <c r="N142" s="166"/>
      <c r="O142" s="169"/>
      <c r="P142" s="169"/>
    </row>
    <row r="143" spans="1:16">
      <c r="A143" s="148" t="s">
        <v>188</v>
      </c>
      <c r="B143" s="149" t="s">
        <v>1548</v>
      </c>
      <c r="C143" s="149" t="s">
        <v>5</v>
      </c>
      <c r="D143" s="148" t="s">
        <v>668</v>
      </c>
      <c r="E143" s="158">
        <v>-2.4398084942084942E-6</v>
      </c>
      <c r="F143" s="159">
        <f t="shared" si="14"/>
        <v>3.6656305802779316</v>
      </c>
      <c r="G143" s="153">
        <f t="shared" si="15"/>
        <v>0.97222222222222221</v>
      </c>
      <c r="H143" s="162">
        <f t="shared" si="16"/>
        <v>1.1000000000000001</v>
      </c>
      <c r="I143" s="154">
        <f t="shared" si="17"/>
        <v>-2.3720360360360359E-6</v>
      </c>
      <c r="J143" s="153"/>
      <c r="K143" s="155">
        <f>I143*diarrhea</f>
        <v>-1.2453189189189189E-2</v>
      </c>
      <c r="M143" s="168"/>
      <c r="N143" s="166"/>
      <c r="O143" s="169"/>
      <c r="P143" s="169"/>
    </row>
    <row r="144" spans="1:16">
      <c r="A144" s="148" t="s">
        <v>188</v>
      </c>
      <c r="B144" s="149" t="s">
        <v>160</v>
      </c>
      <c r="C144" s="149" t="s">
        <v>7</v>
      </c>
      <c r="D144" s="148" t="s">
        <v>668</v>
      </c>
      <c r="E144" s="158">
        <v>-1.6682965250965249</v>
      </c>
      <c r="F144" s="159">
        <f t="shared" si="14"/>
        <v>3.6656305802779316</v>
      </c>
      <c r="G144" s="153">
        <f t="shared" si="15"/>
        <v>0.97222222222222221</v>
      </c>
      <c r="H144" s="162">
        <f t="shared" si="16"/>
        <v>1.1000000000000001</v>
      </c>
      <c r="I144" s="154">
        <f t="shared" si="17"/>
        <v>-1.6219549549549548</v>
      </c>
      <c r="J144" s="153"/>
      <c r="K144" s="155">
        <f>I144*cropvalue</f>
        <v>-0.35683009009009004</v>
      </c>
      <c r="M144" s="168"/>
      <c r="N144" s="166"/>
      <c r="O144" s="169"/>
      <c r="P144" s="169"/>
    </row>
    <row r="145" spans="1:16">
      <c r="A145" s="148" t="s">
        <v>188</v>
      </c>
      <c r="B145" s="149" t="s">
        <v>529</v>
      </c>
      <c r="C145" s="149" t="s">
        <v>7</v>
      </c>
      <c r="D145" s="148" t="s">
        <v>668</v>
      </c>
      <c r="E145" s="158">
        <v>-0.19980416988416985</v>
      </c>
      <c r="F145" s="159">
        <f t="shared" si="14"/>
        <v>3.6656305802779316</v>
      </c>
      <c r="G145" s="153">
        <f t="shared" si="15"/>
        <v>0.97222222222222221</v>
      </c>
      <c r="H145" s="162">
        <f t="shared" si="16"/>
        <v>1.1000000000000001</v>
      </c>
      <c r="I145" s="154">
        <f t="shared" si="17"/>
        <v>-0.19425405405405402</v>
      </c>
      <c r="J145" s="153"/>
      <c r="K145" s="155">
        <f>I145*Fruitandveg_value</f>
        <v>-7.5759081081081064E-2</v>
      </c>
      <c r="M145" s="168"/>
      <c r="N145" s="166"/>
      <c r="O145" s="169"/>
      <c r="P145" s="169"/>
    </row>
    <row r="146" spans="1:16">
      <c r="A146" s="148" t="s">
        <v>188</v>
      </c>
      <c r="B146" s="149" t="s">
        <v>538</v>
      </c>
      <c r="C146" s="149" t="s">
        <v>7</v>
      </c>
      <c r="D146" s="148" t="s">
        <v>668</v>
      </c>
      <c r="E146" s="158">
        <v>-7.8710733590733592E-2</v>
      </c>
      <c r="F146" s="159">
        <f t="shared" si="14"/>
        <v>3.6656305802779316</v>
      </c>
      <c r="G146" s="153">
        <f t="shared" si="15"/>
        <v>0.97222222222222221</v>
      </c>
      <c r="H146" s="162">
        <f t="shared" si="16"/>
        <v>1.1000000000000001</v>
      </c>
      <c r="I146" s="154">
        <f t="shared" si="17"/>
        <v>-7.6524324324324322E-2</v>
      </c>
      <c r="J146" s="153"/>
      <c r="K146" s="155">
        <f>I146*fishandmeatvalue</f>
        <v>-0.16070108108108108</v>
      </c>
      <c r="M146" s="168"/>
      <c r="N146" s="166"/>
      <c r="O146" s="169"/>
      <c r="P146" s="169"/>
    </row>
    <row r="147" spans="1:16">
      <c r="A147" s="148" t="s">
        <v>188</v>
      </c>
      <c r="B147" s="148" t="s">
        <v>161</v>
      </c>
      <c r="C147" s="149" t="s">
        <v>7</v>
      </c>
      <c r="D147" s="148" t="s">
        <v>668</v>
      </c>
      <c r="E147" s="158">
        <v>0</v>
      </c>
      <c r="F147" s="159">
        <f t="shared" si="14"/>
        <v>6.3246562435360429</v>
      </c>
      <c r="G147" s="153">
        <f t="shared" si="15"/>
        <v>0.97222222222222221</v>
      </c>
      <c r="H147" s="162">
        <f t="shared" si="16"/>
        <v>1.1000000000000001</v>
      </c>
      <c r="I147" s="154">
        <f t="shared" si="17"/>
        <v>0</v>
      </c>
      <c r="J147" s="153"/>
      <c r="K147" s="155">
        <f>I147*woodvalue</f>
        <v>0</v>
      </c>
      <c r="M147" s="168"/>
      <c r="N147" s="166"/>
      <c r="O147" s="169"/>
      <c r="P147" s="169"/>
    </row>
    <row r="148" spans="1:16">
      <c r="A148" s="148" t="s">
        <v>188</v>
      </c>
      <c r="B148" s="148" t="s">
        <v>508</v>
      </c>
      <c r="C148" s="149" t="s">
        <v>7</v>
      </c>
      <c r="D148" s="148" t="s">
        <v>668</v>
      </c>
      <c r="E148" s="158">
        <v>-9.6067459459459457</v>
      </c>
      <c r="F148" s="159">
        <f t="shared" si="14"/>
        <v>3.6656305802779316</v>
      </c>
      <c r="G148" s="153">
        <f t="shared" si="15"/>
        <v>0.97222222222222221</v>
      </c>
      <c r="H148" s="162">
        <f t="shared" si="16"/>
        <v>1.1000000000000001</v>
      </c>
      <c r="I148" s="154">
        <f t="shared" si="17"/>
        <v>-9.3398918918918916</v>
      </c>
      <c r="J148" s="153"/>
      <c r="K148" s="155">
        <f>I148*drinkingwatervalue</f>
        <v>-1.8679783783783783E-2</v>
      </c>
      <c r="M148" s="168"/>
      <c r="N148" s="166"/>
      <c r="O148" s="169"/>
      <c r="P148" s="169"/>
    </row>
    <row r="149" spans="1:16">
      <c r="A149" s="148" t="s">
        <v>188</v>
      </c>
      <c r="B149" s="148" t="s">
        <v>510</v>
      </c>
      <c r="C149" s="149" t="s">
        <v>7</v>
      </c>
      <c r="D149" s="148" t="s">
        <v>668</v>
      </c>
      <c r="E149" s="158">
        <v>-19.213491891891891</v>
      </c>
      <c r="F149" s="159">
        <f t="shared" si="14"/>
        <v>3.6656305802779316</v>
      </c>
      <c r="G149" s="153">
        <f t="shared" si="15"/>
        <v>0.97222222222222221</v>
      </c>
      <c r="H149" s="162">
        <f t="shared" si="16"/>
        <v>1.1000000000000001</v>
      </c>
      <c r="I149" s="154">
        <f t="shared" si="17"/>
        <v>-18.679783783783783</v>
      </c>
      <c r="J149" s="153"/>
      <c r="K149" s="155">
        <f>I149*irrigationwatervalue</f>
        <v>-1.8679783783783783E-2</v>
      </c>
      <c r="M149" s="168"/>
      <c r="N149" s="166"/>
      <c r="O149" s="169"/>
      <c r="P149" s="169"/>
    </row>
    <row r="150" spans="1:16">
      <c r="A150" s="148" t="s">
        <v>188</v>
      </c>
      <c r="B150" s="148" t="s">
        <v>511</v>
      </c>
      <c r="C150" s="149" t="s">
        <v>487</v>
      </c>
      <c r="D150" s="148" t="s">
        <v>668</v>
      </c>
      <c r="E150" s="158">
        <v>-4.8518918918918909E-5</v>
      </c>
      <c r="F150" s="159">
        <f t="shared" si="14"/>
        <v>3.6656305802779316</v>
      </c>
      <c r="G150" s="153">
        <f t="shared" si="15"/>
        <v>0.97222222222222221</v>
      </c>
      <c r="H150" s="162">
        <f t="shared" si="16"/>
        <v>1.1000000000000001</v>
      </c>
      <c r="I150" s="154">
        <f t="shared" si="17"/>
        <v>-4.7171171171171163E-5</v>
      </c>
      <c r="J150" s="153"/>
      <c r="K150" s="155">
        <f>I150*energy_access</f>
        <v>-0.13207927927927926</v>
      </c>
      <c r="M150" s="168"/>
      <c r="N150" s="166"/>
      <c r="O150" s="169"/>
      <c r="P150" s="169"/>
    </row>
    <row r="151" spans="1:16">
      <c r="A151" s="148" t="s">
        <v>188</v>
      </c>
      <c r="B151" s="149" t="s">
        <v>513</v>
      </c>
      <c r="C151" s="149" t="s">
        <v>5</v>
      </c>
      <c r="D151" s="148" t="s">
        <v>668</v>
      </c>
      <c r="E151" s="158">
        <v>-3.0497606177606176E-6</v>
      </c>
      <c r="F151" s="159">
        <f t="shared" si="14"/>
        <v>3.6656305802779316</v>
      </c>
      <c r="G151" s="153">
        <f t="shared" si="15"/>
        <v>0.97222222222222221</v>
      </c>
      <c r="H151" s="162">
        <f t="shared" si="16"/>
        <v>1.1000000000000001</v>
      </c>
      <c r="I151" s="154">
        <f t="shared" si="17"/>
        <v>-2.965045045045045E-6</v>
      </c>
      <c r="J151" s="153"/>
      <c r="K151" s="155">
        <f>I151*housingvalue</f>
        <v>-5.9300900900900897E-3</v>
      </c>
      <c r="M151" s="169"/>
      <c r="N151" s="166"/>
      <c r="O151" s="169"/>
      <c r="P151" s="169"/>
    </row>
    <row r="152" spans="1:16">
      <c r="A152" s="148" t="s">
        <v>188</v>
      </c>
      <c r="B152" s="149" t="s">
        <v>516</v>
      </c>
      <c r="C152" s="149" t="s">
        <v>523</v>
      </c>
      <c r="D152" s="148" t="s">
        <v>668</v>
      </c>
      <c r="E152" s="158">
        <v>-3.4656370656370649E-5</v>
      </c>
      <c r="F152" s="159">
        <f t="shared" si="14"/>
        <v>3.6656305802779316</v>
      </c>
      <c r="G152" s="153">
        <f t="shared" si="15"/>
        <v>0.97222222222222221</v>
      </c>
      <c r="H152" s="162">
        <f t="shared" si="16"/>
        <v>1.1000000000000001</v>
      </c>
      <c r="I152" s="154">
        <f t="shared" si="17"/>
        <v>-3.3693693693693685E-5</v>
      </c>
      <c r="J152" s="153"/>
      <c r="K152" s="155">
        <f>I152*migrationvalue</f>
        <v>-0.84234234234234218</v>
      </c>
      <c r="M152" s="168"/>
      <c r="N152" s="166"/>
      <c r="O152" s="169"/>
      <c r="P152" s="169"/>
    </row>
    <row r="153" spans="1:16">
      <c r="A153" s="148" t="s">
        <v>188</v>
      </c>
      <c r="B153" s="148" t="s">
        <v>174</v>
      </c>
      <c r="C153" s="149" t="s">
        <v>505</v>
      </c>
      <c r="D153" s="148" t="s">
        <v>668</v>
      </c>
      <c r="E153" s="158">
        <v>-3.4656370656370654E-14</v>
      </c>
      <c r="F153" s="159">
        <f t="shared" si="14"/>
        <v>3.6656305802779316</v>
      </c>
      <c r="G153" s="153">
        <f t="shared" si="15"/>
        <v>0.97222222222222221</v>
      </c>
      <c r="H153" s="162">
        <f t="shared" si="16"/>
        <v>1.1000000000000001</v>
      </c>
      <c r="I153" s="154">
        <f t="shared" si="17"/>
        <v>-3.3693693693693689E-14</v>
      </c>
      <c r="J153" s="153"/>
      <c r="K153" s="155">
        <f>I153*speciesvalue</f>
        <v>-1.8868468468468465E-3</v>
      </c>
      <c r="M153" s="169"/>
      <c r="N153" s="166"/>
      <c r="O153" s="169"/>
      <c r="P153" s="169"/>
    </row>
    <row r="154" spans="1:16">
      <c r="A154" s="148" t="s">
        <v>188</v>
      </c>
      <c r="B154" s="148" t="s">
        <v>538</v>
      </c>
      <c r="C154" s="149" t="s">
        <v>7</v>
      </c>
      <c r="D154" s="148" t="s">
        <v>173</v>
      </c>
      <c r="E154" s="158">
        <f>I97</f>
        <v>1.8181818181818182E-3</v>
      </c>
      <c r="F154" s="159">
        <f t="shared" si="14"/>
        <v>3.6656305802779316</v>
      </c>
      <c r="G154" s="153">
        <f>64/(2*36)</f>
        <v>0.88888888888888884</v>
      </c>
      <c r="H154" s="162">
        <f t="shared" si="16"/>
        <v>1.1000000000000001</v>
      </c>
      <c r="I154" s="154">
        <f t="shared" si="17"/>
        <v>1.6161616161616162E-3</v>
      </c>
      <c r="K154" s="155">
        <f>I154*fishandmeatvalue</f>
        <v>3.393939393939394E-3</v>
      </c>
      <c r="M154" s="169"/>
      <c r="N154" s="166"/>
      <c r="O154" s="169"/>
      <c r="P154" s="169"/>
    </row>
    <row r="155" spans="1:16">
      <c r="A155" s="148" t="s">
        <v>188</v>
      </c>
      <c r="B155" s="148" t="s">
        <v>174</v>
      </c>
      <c r="C155" s="149" t="s">
        <v>505</v>
      </c>
      <c r="D155" s="148" t="s">
        <v>173</v>
      </c>
      <c r="E155" s="158">
        <f>I111</f>
        <v>1.082053410820534E-14</v>
      </c>
      <c r="F155" s="159">
        <f t="shared" si="14"/>
        <v>2.0130867471709437</v>
      </c>
      <c r="G155" s="153">
        <f>64/(2*36)</f>
        <v>0.88888888888888884</v>
      </c>
      <c r="H155" s="162">
        <f t="shared" si="16"/>
        <v>1.1000000000000001</v>
      </c>
      <c r="I155" s="154">
        <f t="shared" si="17"/>
        <v>9.6182525406269677E-15</v>
      </c>
      <c r="K155" s="155">
        <f>I155*speciesvalue</f>
        <v>5.386221422751102E-4</v>
      </c>
      <c r="M155" s="169"/>
      <c r="N155" s="166"/>
      <c r="O155" s="169"/>
      <c r="P155" s="169"/>
    </row>
    <row r="156" spans="1:16">
      <c r="A156" s="148" t="s">
        <v>188</v>
      </c>
      <c r="B156" s="149" t="s">
        <v>666</v>
      </c>
      <c r="C156" s="149" t="s">
        <v>7</v>
      </c>
      <c r="D156" s="148" t="s">
        <v>176</v>
      </c>
      <c r="E156" s="158">
        <f>I112</f>
        <v>6.981818181818181E-3</v>
      </c>
      <c r="F156" s="159">
        <f t="shared" si="14"/>
        <v>3.0941278481682999</v>
      </c>
      <c r="G156" s="153">
        <f>64/(2*36)</f>
        <v>0.88888888888888884</v>
      </c>
      <c r="H156" s="162">
        <f t="shared" si="16"/>
        <v>1.1000000000000001</v>
      </c>
      <c r="I156" s="154">
        <f t="shared" si="17"/>
        <v>6.2060606060606047E-3</v>
      </c>
      <c r="K156" s="155">
        <f>I156*CO2value</f>
        <v>8.3645520856385786E-4</v>
      </c>
      <c r="M156" s="169"/>
      <c r="N156" s="166"/>
      <c r="O156" s="169"/>
      <c r="P156" s="169"/>
    </row>
    <row r="157" spans="1:16">
      <c r="A157" s="148" t="s">
        <v>188</v>
      </c>
      <c r="B157" s="148" t="s">
        <v>159</v>
      </c>
      <c r="D157" s="148" t="s">
        <v>159</v>
      </c>
      <c r="J157" s="153"/>
      <c r="L157" s="155">
        <f>SUM(K138:K156)</f>
        <v>-30.594862973270232</v>
      </c>
      <c r="M157" s="168"/>
      <c r="N157" s="166"/>
      <c r="O157" s="169"/>
      <c r="P157" s="169"/>
    </row>
    <row r="158" spans="1:16">
      <c r="M158" s="169"/>
      <c r="N158" s="166"/>
      <c r="O158" s="169"/>
      <c r="P158" s="169"/>
    </row>
    <row r="159" spans="1:16">
      <c r="M159" s="169"/>
      <c r="N159" s="166"/>
      <c r="O159" s="169"/>
      <c r="P159" s="169"/>
    </row>
    <row r="160" spans="1:16">
      <c r="A160" s="148" t="s">
        <v>189</v>
      </c>
      <c r="B160" s="148" t="s">
        <v>4</v>
      </c>
      <c r="D160" s="148" t="s">
        <v>187</v>
      </c>
      <c r="E160" s="158">
        <v>-9.928052089575288E-5</v>
      </c>
      <c r="F160" s="159">
        <f>F138</f>
        <v>3.6656305802779316</v>
      </c>
      <c r="G160" s="153">
        <f>18/17</f>
        <v>1.0588235294117647</v>
      </c>
      <c r="H160" s="162">
        <f>H138</f>
        <v>1.1000000000000001</v>
      </c>
      <c r="I160" s="154">
        <f>E160*G160</f>
        <v>-1.0512055153667952E-4</v>
      </c>
      <c r="J160" s="153"/>
      <c r="K160" s="155">
        <f>YOLLvalue*I160</f>
        <v>-5.2560275768339766</v>
      </c>
      <c r="M160" s="168"/>
      <c r="N160" s="166"/>
      <c r="O160" s="169"/>
      <c r="P160" s="169"/>
    </row>
    <row r="161" spans="1:16">
      <c r="A161" s="148" t="s">
        <v>189</v>
      </c>
      <c r="B161" s="149" t="s">
        <v>558</v>
      </c>
      <c r="C161" s="149" t="s">
        <v>5</v>
      </c>
      <c r="D161" s="148" t="s">
        <v>668</v>
      </c>
      <c r="E161" s="158">
        <v>4.8297599999999996E-5</v>
      </c>
      <c r="F161" s="159">
        <f t="shared" ref="F161:F177" si="18">F139</f>
        <v>4.7288043878374149</v>
      </c>
      <c r="G161" s="153">
        <f t="shared" ref="G161:G175" si="19">18/17</f>
        <v>1.0588235294117647</v>
      </c>
      <c r="H161" s="162">
        <f t="shared" ref="H161:H178" si="20">H139</f>
        <v>1.1000000000000001</v>
      </c>
      <c r="I161" s="154">
        <f t="shared" ref="I161:I180" si="21">E161*G161</f>
        <v>5.1138635294117643E-5</v>
      </c>
      <c r="J161" s="153"/>
      <c r="K161" s="155">
        <f>I161*asthmacasesvalue</f>
        <v>0.10994806588235294</v>
      </c>
      <c r="M161" s="168"/>
      <c r="N161" s="166"/>
      <c r="O161" s="169"/>
      <c r="P161" s="169"/>
    </row>
    <row r="162" spans="1:16">
      <c r="A162" s="148" t="s">
        <v>189</v>
      </c>
      <c r="B162" s="149" t="s">
        <v>658</v>
      </c>
      <c r="C162" s="149" t="s">
        <v>5</v>
      </c>
      <c r="D162" s="148" t="s">
        <v>668</v>
      </c>
      <c r="E162" s="158">
        <v>3.7699999999999999E-6</v>
      </c>
      <c r="F162" s="159">
        <f t="shared" si="18"/>
        <v>4.7288043878374149</v>
      </c>
      <c r="G162" s="153">
        <f t="shared" si="19"/>
        <v>1.0588235294117647</v>
      </c>
      <c r="H162" s="162">
        <f t="shared" si="20"/>
        <v>1.1000000000000001</v>
      </c>
      <c r="I162" s="154">
        <f t="shared" si="21"/>
        <v>3.9917647058823532E-6</v>
      </c>
      <c r="J162" s="153"/>
      <c r="K162" s="155">
        <f>I162*COPDvalue</f>
        <v>7.6442294117647067E-2</v>
      </c>
      <c r="M162" s="168"/>
      <c r="N162" s="166"/>
      <c r="O162" s="169"/>
      <c r="P162" s="169"/>
    </row>
    <row r="163" spans="1:16">
      <c r="A163" s="148" t="s">
        <v>189</v>
      </c>
      <c r="B163" s="149" t="s">
        <v>519</v>
      </c>
      <c r="C163" s="149" t="s">
        <v>5</v>
      </c>
      <c r="D163" s="148" t="s">
        <v>668</v>
      </c>
      <c r="E163" s="158">
        <v>-3.6597127413127409E-4</v>
      </c>
      <c r="F163" s="159">
        <f t="shared" si="18"/>
        <v>3.6656305802779316</v>
      </c>
      <c r="G163" s="153">
        <f t="shared" si="19"/>
        <v>1.0588235294117647</v>
      </c>
      <c r="H163" s="162">
        <f t="shared" si="20"/>
        <v>1.1000000000000001</v>
      </c>
      <c r="I163" s="154">
        <f t="shared" si="21"/>
        <v>-3.8749899613899611E-4</v>
      </c>
      <c r="J163" s="153"/>
      <c r="K163" s="155">
        <f>I163*malnutrition</f>
        <v>-3.7006154131274127</v>
      </c>
      <c r="M163" s="168"/>
      <c r="N163" s="166"/>
      <c r="O163" s="169"/>
      <c r="P163" s="169"/>
    </row>
    <row r="164" spans="1:16">
      <c r="A164" s="148" t="s">
        <v>189</v>
      </c>
      <c r="B164" s="149" t="s">
        <v>661</v>
      </c>
      <c r="C164" s="149" t="s">
        <v>5</v>
      </c>
      <c r="D164" s="148" t="s">
        <v>668</v>
      </c>
      <c r="E164" s="158">
        <v>-3.6597127413127409E-4</v>
      </c>
      <c r="F164" s="159">
        <f t="shared" si="18"/>
        <v>3.6656305802779316</v>
      </c>
      <c r="G164" s="153">
        <f t="shared" si="19"/>
        <v>1.0588235294117647</v>
      </c>
      <c r="H164" s="162">
        <f t="shared" si="20"/>
        <v>1.1000000000000001</v>
      </c>
      <c r="I164" s="154">
        <f t="shared" si="21"/>
        <v>-3.8749899613899611E-4</v>
      </c>
      <c r="J164" s="153"/>
      <c r="K164" s="155">
        <f>I164*working_capacity</f>
        <v>-22.784940972972972</v>
      </c>
      <c r="M164" s="168"/>
      <c r="N164" s="166"/>
      <c r="O164" s="169"/>
      <c r="P164" s="169"/>
    </row>
    <row r="165" spans="1:16">
      <c r="A165" s="148" t="s">
        <v>189</v>
      </c>
      <c r="B165" s="149" t="s">
        <v>1548</v>
      </c>
      <c r="C165" s="149" t="s">
        <v>5</v>
      </c>
      <c r="D165" s="148" t="s">
        <v>668</v>
      </c>
      <c r="E165" s="158">
        <v>-2.4398084942084942E-6</v>
      </c>
      <c r="F165" s="159">
        <f t="shared" si="18"/>
        <v>3.6656305802779316</v>
      </c>
      <c r="G165" s="153">
        <f t="shared" si="19"/>
        <v>1.0588235294117647</v>
      </c>
      <c r="H165" s="162">
        <f t="shared" si="20"/>
        <v>1.1000000000000001</v>
      </c>
      <c r="I165" s="154">
        <f t="shared" si="21"/>
        <v>-2.5833266409266409E-6</v>
      </c>
      <c r="J165" s="153"/>
      <c r="K165" s="155">
        <f>I165*diarrhea</f>
        <v>-1.3562464864864865E-2</v>
      </c>
      <c r="M165" s="168"/>
      <c r="N165" s="166"/>
      <c r="O165" s="169"/>
      <c r="P165" s="169"/>
    </row>
    <row r="166" spans="1:16">
      <c r="A166" s="148" t="s">
        <v>189</v>
      </c>
      <c r="B166" s="149" t="s">
        <v>160</v>
      </c>
      <c r="C166" s="149" t="s">
        <v>7</v>
      </c>
      <c r="D166" s="148" t="s">
        <v>668</v>
      </c>
      <c r="E166" s="158">
        <v>-1.6682965250965249</v>
      </c>
      <c r="F166" s="159">
        <f t="shared" si="18"/>
        <v>3.6656305802779316</v>
      </c>
      <c r="G166" s="153">
        <f t="shared" si="19"/>
        <v>1.0588235294117647</v>
      </c>
      <c r="H166" s="162">
        <f t="shared" si="20"/>
        <v>1.1000000000000001</v>
      </c>
      <c r="I166" s="154">
        <f t="shared" si="21"/>
        <v>-1.7664316148080852</v>
      </c>
      <c r="J166" s="153"/>
      <c r="K166" s="155">
        <f>I166*cropvalue</f>
        <v>-0.38861495525777873</v>
      </c>
      <c r="M166" s="168"/>
      <c r="N166" s="166"/>
      <c r="O166" s="169"/>
      <c r="P166" s="169"/>
    </row>
    <row r="167" spans="1:16">
      <c r="A167" s="148" t="s">
        <v>189</v>
      </c>
      <c r="B167" s="149" t="s">
        <v>529</v>
      </c>
      <c r="C167" s="149" t="s">
        <v>7</v>
      </c>
      <c r="D167" s="148" t="s">
        <v>668</v>
      </c>
      <c r="E167" s="158">
        <v>-0.19980416988416985</v>
      </c>
      <c r="F167" s="159">
        <f t="shared" si="18"/>
        <v>3.6656305802779316</v>
      </c>
      <c r="G167" s="153">
        <f t="shared" si="19"/>
        <v>1.0588235294117647</v>
      </c>
      <c r="H167" s="162">
        <f t="shared" si="20"/>
        <v>1.1000000000000001</v>
      </c>
      <c r="I167" s="154">
        <f t="shared" si="21"/>
        <v>-0.21155735634794456</v>
      </c>
      <c r="J167" s="153"/>
      <c r="K167" s="155">
        <f>I167*Fruitandveg_value</f>
        <v>-8.2507368975698381E-2</v>
      </c>
      <c r="M167" s="168"/>
      <c r="N167" s="166"/>
      <c r="O167" s="169"/>
      <c r="P167" s="169"/>
    </row>
    <row r="168" spans="1:16">
      <c r="A168" s="148" t="s">
        <v>189</v>
      </c>
      <c r="B168" s="149" t="s">
        <v>538</v>
      </c>
      <c r="C168" s="149" t="s">
        <v>7</v>
      </c>
      <c r="D168" s="148" t="s">
        <v>668</v>
      </c>
      <c r="E168" s="158">
        <v>-7.8710733590733592E-2</v>
      </c>
      <c r="F168" s="159">
        <f t="shared" si="18"/>
        <v>3.6656305802779316</v>
      </c>
      <c r="G168" s="153">
        <f t="shared" si="19"/>
        <v>1.0588235294117647</v>
      </c>
      <c r="H168" s="162">
        <f t="shared" si="20"/>
        <v>1.1000000000000001</v>
      </c>
      <c r="I168" s="154">
        <f t="shared" si="21"/>
        <v>-8.3340776743129688E-2</v>
      </c>
      <c r="J168" s="153"/>
      <c r="K168" s="155">
        <f>I168*fishandmeatvalue</f>
        <v>-0.17501563116057237</v>
      </c>
      <c r="M168" s="168"/>
      <c r="N168" s="166"/>
      <c r="O168" s="169"/>
      <c r="P168" s="169"/>
    </row>
    <row r="169" spans="1:16">
      <c r="A169" s="148" t="s">
        <v>189</v>
      </c>
      <c r="B169" s="148" t="s">
        <v>161</v>
      </c>
      <c r="C169" s="149" t="s">
        <v>7</v>
      </c>
      <c r="D169" s="148" t="s">
        <v>668</v>
      </c>
      <c r="E169" s="158">
        <v>0</v>
      </c>
      <c r="F169" s="159">
        <f t="shared" si="18"/>
        <v>6.3246562435360429</v>
      </c>
      <c r="G169" s="153">
        <f t="shared" si="19"/>
        <v>1.0588235294117647</v>
      </c>
      <c r="H169" s="162">
        <f t="shared" si="20"/>
        <v>1.1000000000000001</v>
      </c>
      <c r="I169" s="154">
        <f t="shared" si="21"/>
        <v>0</v>
      </c>
      <c r="J169" s="153"/>
      <c r="K169" s="155">
        <f>I169*woodvalue</f>
        <v>0</v>
      </c>
      <c r="M169" s="168"/>
      <c r="N169" s="166"/>
      <c r="O169" s="169"/>
      <c r="P169" s="169"/>
    </row>
    <row r="170" spans="1:16">
      <c r="A170" s="148" t="s">
        <v>189</v>
      </c>
      <c r="B170" s="148" t="s">
        <v>508</v>
      </c>
      <c r="C170" s="149" t="s">
        <v>7</v>
      </c>
      <c r="D170" s="148" t="s">
        <v>668</v>
      </c>
      <c r="E170" s="158">
        <v>-9.6067459459459457</v>
      </c>
      <c r="F170" s="159">
        <f t="shared" si="18"/>
        <v>3.6656305802779316</v>
      </c>
      <c r="G170" s="153">
        <f t="shared" si="19"/>
        <v>1.0588235294117647</v>
      </c>
      <c r="H170" s="162">
        <f t="shared" si="20"/>
        <v>1.1000000000000001</v>
      </c>
      <c r="I170" s="154">
        <f t="shared" si="21"/>
        <v>-10.171848648648648</v>
      </c>
      <c r="J170" s="153"/>
      <c r="K170" s="155">
        <f>I170*drinkingwatervalue</f>
        <v>-2.0343697297297299E-2</v>
      </c>
      <c r="M170" s="168"/>
      <c r="N170" s="166"/>
      <c r="O170" s="169"/>
      <c r="P170" s="169"/>
    </row>
    <row r="171" spans="1:16">
      <c r="A171" s="148" t="s">
        <v>189</v>
      </c>
      <c r="B171" s="148" t="s">
        <v>510</v>
      </c>
      <c r="C171" s="149" t="s">
        <v>7</v>
      </c>
      <c r="D171" s="148" t="s">
        <v>668</v>
      </c>
      <c r="E171" s="158">
        <v>-19.213491891891891</v>
      </c>
      <c r="F171" s="159">
        <f t="shared" si="18"/>
        <v>3.6656305802779316</v>
      </c>
      <c r="G171" s="153">
        <f t="shared" si="19"/>
        <v>1.0588235294117647</v>
      </c>
      <c r="H171" s="162">
        <f t="shared" si="20"/>
        <v>1.1000000000000001</v>
      </c>
      <c r="I171" s="154">
        <f t="shared" si="21"/>
        <v>-20.343697297297297</v>
      </c>
      <c r="J171" s="153"/>
      <c r="K171" s="155">
        <f>I171*irrigationwatervalue</f>
        <v>-2.0343697297297299E-2</v>
      </c>
      <c r="M171" s="168"/>
      <c r="N171" s="166"/>
      <c r="O171" s="169"/>
      <c r="P171" s="169"/>
    </row>
    <row r="172" spans="1:16">
      <c r="A172" s="148" t="s">
        <v>189</v>
      </c>
      <c r="B172" s="148" t="s">
        <v>511</v>
      </c>
      <c r="C172" s="149" t="s">
        <v>487</v>
      </c>
      <c r="D172" s="148" t="s">
        <v>668</v>
      </c>
      <c r="E172" s="158">
        <v>-4.8518918918918909E-5</v>
      </c>
      <c r="F172" s="159">
        <f t="shared" si="18"/>
        <v>3.6656305802779316</v>
      </c>
      <c r="G172" s="153">
        <f t="shared" si="19"/>
        <v>1.0588235294117647</v>
      </c>
      <c r="H172" s="162">
        <f t="shared" si="20"/>
        <v>1.1000000000000001</v>
      </c>
      <c r="I172" s="154">
        <f t="shared" si="21"/>
        <v>-5.1372972972972965E-5</v>
      </c>
      <c r="J172" s="153"/>
      <c r="K172" s="155">
        <f>I172*energy_access</f>
        <v>-0.14384432432432431</v>
      </c>
      <c r="M172" s="168"/>
      <c r="N172" s="166"/>
      <c r="O172" s="169"/>
      <c r="P172" s="169"/>
    </row>
    <row r="173" spans="1:16">
      <c r="A173" s="148" t="s">
        <v>189</v>
      </c>
      <c r="B173" s="149" t="s">
        <v>513</v>
      </c>
      <c r="C173" s="149" t="s">
        <v>5</v>
      </c>
      <c r="D173" s="148" t="s">
        <v>668</v>
      </c>
      <c r="E173" s="158">
        <v>-3.0497606177606176E-6</v>
      </c>
      <c r="F173" s="159">
        <f t="shared" si="18"/>
        <v>3.6656305802779316</v>
      </c>
      <c r="G173" s="153">
        <f t="shared" si="19"/>
        <v>1.0588235294117647</v>
      </c>
      <c r="H173" s="162">
        <f t="shared" si="20"/>
        <v>1.1000000000000001</v>
      </c>
      <c r="I173" s="154">
        <f t="shared" si="21"/>
        <v>-3.2291583011583009E-6</v>
      </c>
      <c r="J173" s="153"/>
      <c r="K173" s="155">
        <f>I173*housingvalue</f>
        <v>-6.4583166023166015E-3</v>
      </c>
      <c r="M173" s="168"/>
      <c r="N173" s="166"/>
      <c r="O173" s="169"/>
      <c r="P173" s="169"/>
    </row>
    <row r="174" spans="1:16">
      <c r="A174" s="148" t="s">
        <v>189</v>
      </c>
      <c r="B174" s="149" t="s">
        <v>516</v>
      </c>
      <c r="C174" s="149" t="s">
        <v>523</v>
      </c>
      <c r="D174" s="148" t="s">
        <v>668</v>
      </c>
      <c r="E174" s="158">
        <v>-3.4656370656370649E-5</v>
      </c>
      <c r="F174" s="159">
        <f t="shared" si="18"/>
        <v>3.6656305802779316</v>
      </c>
      <c r="G174" s="153">
        <f t="shared" si="19"/>
        <v>1.0588235294117647</v>
      </c>
      <c r="H174" s="162">
        <f t="shared" si="20"/>
        <v>1.1000000000000001</v>
      </c>
      <c r="I174" s="154">
        <f t="shared" si="21"/>
        <v>-3.6694980694980686E-5</v>
      </c>
      <c r="J174" s="153"/>
      <c r="K174" s="155">
        <f>I174*migrationvalue</f>
        <v>-0.91737451737451714</v>
      </c>
      <c r="M174" s="168"/>
      <c r="N174" s="166"/>
      <c r="O174" s="169"/>
      <c r="P174" s="169"/>
    </row>
    <row r="175" spans="1:16">
      <c r="A175" s="148" t="s">
        <v>189</v>
      </c>
      <c r="B175" s="148" t="s">
        <v>174</v>
      </c>
      <c r="C175" s="149" t="s">
        <v>505</v>
      </c>
      <c r="D175" s="148" t="s">
        <v>668</v>
      </c>
      <c r="E175" s="158">
        <v>-3.4656370656370654E-14</v>
      </c>
      <c r="F175" s="159">
        <f t="shared" si="18"/>
        <v>3.6656305802779316</v>
      </c>
      <c r="G175" s="153">
        <f t="shared" si="19"/>
        <v>1.0588235294117647</v>
      </c>
      <c r="H175" s="162">
        <f t="shared" si="20"/>
        <v>1.1000000000000001</v>
      </c>
      <c r="I175" s="154">
        <f t="shared" si="21"/>
        <v>-3.6694980694980695E-14</v>
      </c>
      <c r="J175" s="153"/>
      <c r="K175" s="155">
        <f>I175*speciesvalue</f>
        <v>-2.054918918918919E-3</v>
      </c>
      <c r="M175" s="168"/>
      <c r="N175" s="166"/>
      <c r="O175" s="169"/>
      <c r="P175" s="169"/>
    </row>
    <row r="176" spans="1:16">
      <c r="A176" s="148" t="s">
        <v>189</v>
      </c>
      <c r="B176" s="148" t="s">
        <v>538</v>
      </c>
      <c r="C176" s="149" t="s">
        <v>7</v>
      </c>
      <c r="D176" s="148" t="s">
        <v>173</v>
      </c>
      <c r="E176" s="158">
        <f>I97</f>
        <v>1.8181818181818182E-3</v>
      </c>
      <c r="F176" s="159">
        <f t="shared" si="18"/>
        <v>3.6656305802779316</v>
      </c>
      <c r="G176" s="153">
        <f>64/(2*17)</f>
        <v>1.8823529411764706</v>
      </c>
      <c r="H176" s="162">
        <f t="shared" si="20"/>
        <v>1.1000000000000001</v>
      </c>
      <c r="I176" s="154">
        <f t="shared" si="21"/>
        <v>3.4224598930481282E-3</v>
      </c>
      <c r="J176" s="153"/>
      <c r="K176" s="155">
        <f>I176*fishandmeatvalue</f>
        <v>7.1871657754010694E-3</v>
      </c>
      <c r="M176" s="168"/>
      <c r="N176" s="166"/>
      <c r="O176" s="169"/>
      <c r="P176" s="169"/>
    </row>
    <row r="177" spans="1:16">
      <c r="A177" s="148" t="s">
        <v>189</v>
      </c>
      <c r="B177" s="148" t="s">
        <v>174</v>
      </c>
      <c r="C177" s="149" t="s">
        <v>505</v>
      </c>
      <c r="D177" s="148" t="s">
        <v>173</v>
      </c>
      <c r="E177" s="158">
        <f>I111</f>
        <v>1.082053410820534E-14</v>
      </c>
      <c r="F177" s="159">
        <f t="shared" si="18"/>
        <v>2.0130867471709437</v>
      </c>
      <c r="G177" s="153">
        <f>64/(2*17)</f>
        <v>1.8823529411764706</v>
      </c>
      <c r="H177" s="162">
        <f t="shared" si="20"/>
        <v>1.1000000000000001</v>
      </c>
      <c r="I177" s="154">
        <f t="shared" si="21"/>
        <v>2.036806420368064E-14</v>
      </c>
      <c r="J177" s="153"/>
      <c r="K177" s="155">
        <f>I177*speciesvalue</f>
        <v>1.1406115954061158E-3</v>
      </c>
      <c r="M177" s="168"/>
      <c r="N177" s="166"/>
      <c r="O177" s="169"/>
      <c r="P177" s="169"/>
    </row>
    <row r="178" spans="1:16">
      <c r="A178" s="148" t="s">
        <v>189</v>
      </c>
      <c r="B178" s="148" t="s">
        <v>538</v>
      </c>
      <c r="D178" s="148" t="s">
        <v>190</v>
      </c>
      <c r="E178" s="158">
        <f>I58</f>
        <v>-2.4216923796166435E-4</v>
      </c>
      <c r="F178" s="159">
        <f>EXP(SQRT(LN(F58)^2+LN(H58)^2))</f>
        <v>3.6656305802779316</v>
      </c>
      <c r="G178" s="153">
        <f>46/17</f>
        <v>2.7058823529411766</v>
      </c>
      <c r="H178" s="162">
        <f t="shared" si="20"/>
        <v>1.1000000000000001</v>
      </c>
      <c r="I178" s="154">
        <f t="shared" si="21"/>
        <v>-6.5528146742568005E-4</v>
      </c>
      <c r="K178" s="155">
        <f>I178*fishandmeatvalue</f>
        <v>-1.3760910815939281E-3</v>
      </c>
      <c r="M178" s="169"/>
      <c r="N178" s="166"/>
      <c r="O178" s="169"/>
      <c r="P178" s="169"/>
    </row>
    <row r="179" spans="1:16">
      <c r="A179" s="148" t="s">
        <v>189</v>
      </c>
      <c r="B179" s="148" t="s">
        <v>161</v>
      </c>
      <c r="D179" s="148" t="s">
        <v>190</v>
      </c>
      <c r="E179" s="161">
        <f>E61</f>
        <v>-2.7086956521739136</v>
      </c>
      <c r="F179" s="162">
        <f>F61</f>
        <v>2</v>
      </c>
      <c r="G179" s="153">
        <f>46/17</f>
        <v>2.7058823529411766</v>
      </c>
      <c r="H179" s="162">
        <v>1.1000000000000001</v>
      </c>
      <c r="I179" s="154">
        <f t="shared" si="21"/>
        <v>-7.3294117647058847</v>
      </c>
      <c r="K179" s="155">
        <f>I179*woodvalue</f>
        <v>-0.29317647058823537</v>
      </c>
      <c r="M179" s="169"/>
      <c r="N179" s="166"/>
      <c r="O179" s="169"/>
      <c r="P179" s="169"/>
    </row>
    <row r="180" spans="1:16">
      <c r="A180" s="148" t="s">
        <v>189</v>
      </c>
      <c r="B180" s="148" t="s">
        <v>174</v>
      </c>
      <c r="D180" s="148" t="s">
        <v>172</v>
      </c>
      <c r="E180" s="158">
        <f>I69</f>
        <v>1.3744740532959327E-14</v>
      </c>
      <c r="F180" s="159">
        <f>EXP(SQRT(LN(F69)^2+LN(H69)^2))</f>
        <v>4.0996554135615177</v>
      </c>
      <c r="G180" s="153">
        <f>46/17</f>
        <v>2.7058823529411766</v>
      </c>
      <c r="H180" s="162">
        <v>1.1000000000000001</v>
      </c>
      <c r="I180" s="154">
        <f t="shared" si="21"/>
        <v>3.7191650853889944E-14</v>
      </c>
      <c r="K180" s="155">
        <f>I180*speciesvalue</f>
        <v>2.082732447817837E-3</v>
      </c>
      <c r="M180" s="169"/>
      <c r="N180" s="166"/>
      <c r="O180" s="169"/>
      <c r="P180" s="169"/>
    </row>
    <row r="181" spans="1:16">
      <c r="A181" s="148" t="s">
        <v>189</v>
      </c>
      <c r="B181" s="148" t="s">
        <v>159</v>
      </c>
      <c r="D181" s="148" t="s">
        <v>159</v>
      </c>
      <c r="L181" s="155">
        <f>SUM(K160:K180)</f>
        <v>-33.609455546859166</v>
      </c>
      <c r="M181" s="169"/>
      <c r="N181" s="166"/>
      <c r="O181" s="169"/>
      <c r="P181" s="169"/>
    </row>
    <row r="182" spans="1:16">
      <c r="M182" s="169"/>
      <c r="N182" s="166"/>
      <c r="O182" s="169"/>
      <c r="P182" s="169"/>
    </row>
    <row r="183" spans="1:16">
      <c r="I183" s="153"/>
      <c r="M183" s="169"/>
      <c r="N183" s="166"/>
      <c r="O183" s="169"/>
      <c r="P183" s="169"/>
    </row>
    <row r="184" spans="1:16">
      <c r="A184" s="148" t="s">
        <v>1408</v>
      </c>
      <c r="B184" s="148" t="s">
        <v>1407</v>
      </c>
      <c r="D184" s="148" t="s">
        <v>258</v>
      </c>
      <c r="E184" s="153">
        <v>100000</v>
      </c>
      <c r="F184" s="148">
        <v>3</v>
      </c>
      <c r="G184" s="153">
        <f>1/7630000</f>
        <v>1.3106159895150722E-7</v>
      </c>
      <c r="H184" s="148">
        <v>2</v>
      </c>
      <c r="I184" s="154">
        <f>E184*G184</f>
        <v>1.3106159895150722E-2</v>
      </c>
      <c r="J184" s="153"/>
      <c r="K184" s="155">
        <f>I184*Intellectualdisabilityvalue</f>
        <v>20.314547837483619</v>
      </c>
      <c r="M184" s="169"/>
      <c r="N184" s="166"/>
      <c r="O184" s="169"/>
      <c r="P184" s="169"/>
    </row>
    <row r="185" spans="1:16">
      <c r="A185" s="148" t="s">
        <v>1408</v>
      </c>
      <c r="B185" s="148" t="s">
        <v>159</v>
      </c>
      <c r="D185" s="148" t="s">
        <v>159</v>
      </c>
      <c r="L185" s="155">
        <f>SUM(K184:K184)</f>
        <v>20.314547837483619</v>
      </c>
      <c r="M185" s="169"/>
      <c r="N185" s="166"/>
      <c r="O185" s="169"/>
      <c r="P185" s="169"/>
    </row>
    <row r="186" spans="1:16">
      <c r="I186" s="153"/>
      <c r="M186" s="169"/>
      <c r="N186" s="166"/>
      <c r="O186" s="169"/>
      <c r="P186" s="169"/>
    </row>
    <row r="187" spans="1:16">
      <c r="A187" s="148" t="s">
        <v>1409</v>
      </c>
      <c r="B187" s="148" t="s">
        <v>1407</v>
      </c>
      <c r="D187" s="148" t="s">
        <v>258</v>
      </c>
      <c r="E187" s="153">
        <v>100000</v>
      </c>
      <c r="F187" s="148">
        <v>3</v>
      </c>
      <c r="G187" s="153">
        <f>1/7630000</f>
        <v>1.3106159895150722E-7</v>
      </c>
      <c r="H187" s="148">
        <v>2</v>
      </c>
      <c r="I187" s="154">
        <f>E187*G187</f>
        <v>1.3106159895150722E-2</v>
      </c>
      <c r="J187" s="153"/>
      <c r="K187" s="155">
        <f>I187*Intellectualdisabilityvalue</f>
        <v>20.314547837483619</v>
      </c>
      <c r="M187" s="169"/>
      <c r="N187" s="166"/>
      <c r="O187" s="169"/>
      <c r="P187" s="169"/>
    </row>
    <row r="188" spans="1:16">
      <c r="A188" s="148" t="s">
        <v>1409</v>
      </c>
      <c r="B188" s="148" t="s">
        <v>93</v>
      </c>
      <c r="C188" s="148" t="s">
        <v>1410</v>
      </c>
      <c r="D188" s="148" t="s">
        <v>1411</v>
      </c>
      <c r="E188" s="148">
        <v>1</v>
      </c>
      <c r="F188" s="148">
        <v>1</v>
      </c>
      <c r="G188" s="148">
        <v>1</v>
      </c>
      <c r="H188" s="148">
        <v>1</v>
      </c>
      <c r="I188" s="154">
        <f>E188*G188</f>
        <v>1</v>
      </c>
      <c r="J188" s="153"/>
      <c r="K188" s="155">
        <f>I188*Hg_orevalue</f>
        <v>54298.507462686561</v>
      </c>
      <c r="M188" s="169"/>
      <c r="N188" s="166"/>
      <c r="O188" s="169"/>
      <c r="P188" s="169"/>
    </row>
    <row r="189" spans="1:16">
      <c r="A189" s="148" t="s">
        <v>1409</v>
      </c>
      <c r="B189" s="148" t="s">
        <v>159</v>
      </c>
      <c r="D189" s="148" t="s">
        <v>159</v>
      </c>
      <c r="L189" s="155">
        <f>SUM(K187:K188)</f>
        <v>54318.822010524047</v>
      </c>
      <c r="M189" s="169"/>
      <c r="N189" s="166"/>
      <c r="O189" s="169"/>
      <c r="P189" s="169"/>
    </row>
    <row r="190" spans="1:16">
      <c r="I190" s="153"/>
      <c r="M190" s="169"/>
      <c r="N190" s="166"/>
      <c r="O190" s="169"/>
      <c r="P190" s="169"/>
    </row>
    <row r="191" spans="1:16">
      <c r="I191" s="153"/>
      <c r="J191" s="153"/>
      <c r="M191" s="168"/>
      <c r="N191" s="166"/>
      <c r="O191" s="169"/>
      <c r="P191" s="169"/>
    </row>
    <row r="192" spans="1:16">
      <c r="A192" s="148" t="s">
        <v>1525</v>
      </c>
      <c r="B192" s="148" t="s">
        <v>4</v>
      </c>
      <c r="C192" s="149" t="s">
        <v>5</v>
      </c>
      <c r="D192" s="148" t="s">
        <v>668</v>
      </c>
      <c r="E192" s="158">
        <f>E117</f>
        <v>-9.928052089575288E-5</v>
      </c>
      <c r="F192" s="159">
        <f>F117</f>
        <v>3.6656305802779316</v>
      </c>
      <c r="G192" s="153">
        <f>0.89</f>
        <v>0.89</v>
      </c>
      <c r="H192" s="162">
        <f>H117</f>
        <v>1.1000000000000001</v>
      </c>
      <c r="I192" s="154">
        <f>E192*G192</f>
        <v>-8.835966359722006E-5</v>
      </c>
      <c r="J192" s="153"/>
      <c r="K192" s="155">
        <f>I192*YOLLvalue</f>
        <v>-4.417983179861003</v>
      </c>
      <c r="M192" s="168"/>
      <c r="N192" s="166"/>
      <c r="O192" s="169"/>
      <c r="P192" s="169"/>
    </row>
    <row r="193" spans="1:16">
      <c r="A193" s="148" t="s">
        <v>1525</v>
      </c>
      <c r="B193" s="149" t="s">
        <v>558</v>
      </c>
      <c r="C193" s="149" t="s">
        <v>5</v>
      </c>
      <c r="D193" s="148" t="s">
        <v>668</v>
      </c>
      <c r="E193" s="158">
        <f t="shared" ref="E193:F208" si="22">E118</f>
        <v>4.8297599999999996E-5</v>
      </c>
      <c r="F193" s="159">
        <f t="shared" si="22"/>
        <v>4.7288043878374149</v>
      </c>
      <c r="G193" s="153">
        <f>0.89</f>
        <v>0.89</v>
      </c>
      <c r="H193" s="162">
        <f t="shared" ref="H193:H210" si="23">H118</f>
        <v>1.1000000000000001</v>
      </c>
      <c r="I193" s="154">
        <f t="shared" ref="I193:I210" si="24">E193*G193</f>
        <v>4.2984863999999997E-5</v>
      </c>
      <c r="J193" s="153"/>
      <c r="K193" s="155">
        <f>I193*asthmacasesvalue</f>
        <v>9.2417457599999989E-2</v>
      </c>
      <c r="M193" s="168"/>
      <c r="N193" s="166"/>
      <c r="O193" s="169"/>
      <c r="P193" s="169"/>
    </row>
    <row r="194" spans="1:16">
      <c r="A194" s="148" t="s">
        <v>1525</v>
      </c>
      <c r="B194" s="149" t="s">
        <v>658</v>
      </c>
      <c r="C194" s="149" t="s">
        <v>5</v>
      </c>
      <c r="D194" s="148" t="s">
        <v>668</v>
      </c>
      <c r="E194" s="158">
        <f t="shared" si="22"/>
        <v>3.7699999999999999E-6</v>
      </c>
      <c r="F194" s="159">
        <f t="shared" si="22"/>
        <v>4.7288043878374149</v>
      </c>
      <c r="G194" s="153">
        <f t="shared" ref="G194:G207" si="25">0.89</f>
        <v>0.89</v>
      </c>
      <c r="H194" s="162">
        <f t="shared" si="23"/>
        <v>1.1000000000000001</v>
      </c>
      <c r="I194" s="154">
        <f t="shared" si="24"/>
        <v>3.3552999999999999E-6</v>
      </c>
      <c r="J194" s="153"/>
      <c r="K194" s="155">
        <f>I194*COPDvalue</f>
        <v>6.4253994999999994E-2</v>
      </c>
      <c r="M194" s="168"/>
      <c r="N194" s="166"/>
      <c r="O194" s="169"/>
      <c r="P194" s="169"/>
    </row>
    <row r="195" spans="1:16">
      <c r="A195" s="148" t="s">
        <v>1525</v>
      </c>
      <c r="B195" s="149" t="s">
        <v>519</v>
      </c>
      <c r="C195" s="149" t="s">
        <v>5</v>
      </c>
      <c r="D195" s="148" t="s">
        <v>668</v>
      </c>
      <c r="E195" s="158">
        <f t="shared" si="22"/>
        <v>-3.6597127413127409E-4</v>
      </c>
      <c r="F195" s="159">
        <f t="shared" si="22"/>
        <v>3.6656305802779316</v>
      </c>
      <c r="G195" s="153">
        <f t="shared" si="25"/>
        <v>0.89</v>
      </c>
      <c r="H195" s="162">
        <f t="shared" si="23"/>
        <v>1.1000000000000001</v>
      </c>
      <c r="I195" s="154">
        <f t="shared" si="24"/>
        <v>-3.2571443397683397E-4</v>
      </c>
      <c r="J195" s="153"/>
      <c r="K195" s="155">
        <f>I195*malnutrition</f>
        <v>-3.1105728444787646</v>
      </c>
      <c r="M195" s="169"/>
      <c r="N195" s="166"/>
      <c r="O195" s="169"/>
      <c r="P195" s="169"/>
    </row>
    <row r="196" spans="1:16">
      <c r="A196" s="148" t="s">
        <v>1525</v>
      </c>
      <c r="B196" s="149" t="s">
        <v>661</v>
      </c>
      <c r="C196" s="149" t="s">
        <v>5</v>
      </c>
      <c r="D196" s="148" t="s">
        <v>668</v>
      </c>
      <c r="E196" s="158">
        <f t="shared" si="22"/>
        <v>-3.6597127413127409E-4</v>
      </c>
      <c r="F196" s="159">
        <f t="shared" si="22"/>
        <v>3.6656305802779316</v>
      </c>
      <c r="G196" s="153">
        <f t="shared" si="25"/>
        <v>0.89</v>
      </c>
      <c r="H196" s="162">
        <f t="shared" si="23"/>
        <v>1.1000000000000001</v>
      </c>
      <c r="I196" s="154">
        <f t="shared" si="24"/>
        <v>-3.2571443397683397E-4</v>
      </c>
      <c r="J196" s="153"/>
      <c r="K196" s="155">
        <f>I196*working_capacity</f>
        <v>-19.152008717837838</v>
      </c>
      <c r="M196" s="169"/>
      <c r="N196" s="166"/>
      <c r="O196" s="169"/>
      <c r="P196" s="169"/>
    </row>
    <row r="197" spans="1:16">
      <c r="A197" s="148" t="s">
        <v>1525</v>
      </c>
      <c r="B197" s="149" t="s">
        <v>521</v>
      </c>
      <c r="C197" s="149" t="s">
        <v>5</v>
      </c>
      <c r="D197" s="148" t="s">
        <v>668</v>
      </c>
      <c r="E197" s="158">
        <f t="shared" si="22"/>
        <v>-2.4398084942084942E-6</v>
      </c>
      <c r="F197" s="159">
        <f t="shared" si="22"/>
        <v>3.6656305802779316</v>
      </c>
      <c r="G197" s="153">
        <f t="shared" si="25"/>
        <v>0.89</v>
      </c>
      <c r="H197" s="162">
        <f t="shared" si="23"/>
        <v>1.1000000000000001</v>
      </c>
      <c r="I197" s="154">
        <f t="shared" si="24"/>
        <v>-2.1714295598455598E-6</v>
      </c>
      <c r="J197" s="153"/>
      <c r="K197" s="155">
        <f>I197*diarrhea</f>
        <v>-1.1400005189189188E-2</v>
      </c>
      <c r="M197" s="169"/>
      <c r="N197" s="166"/>
      <c r="O197" s="169"/>
      <c r="P197" s="169"/>
    </row>
    <row r="198" spans="1:16">
      <c r="A198" s="148" t="s">
        <v>1525</v>
      </c>
      <c r="B198" s="149" t="s">
        <v>160</v>
      </c>
      <c r="C198" s="149" t="s">
        <v>7</v>
      </c>
      <c r="D198" s="148" t="s">
        <v>668</v>
      </c>
      <c r="E198" s="158">
        <f t="shared" si="22"/>
        <v>-1.6682965250965249</v>
      </c>
      <c r="F198" s="159">
        <f t="shared" si="22"/>
        <v>3.6656305802779316</v>
      </c>
      <c r="G198" s="153">
        <f t="shared" si="25"/>
        <v>0.89</v>
      </c>
      <c r="H198" s="162">
        <f t="shared" si="23"/>
        <v>1.1000000000000001</v>
      </c>
      <c r="I198" s="154">
        <f t="shared" si="24"/>
        <v>-1.4847839073359073</v>
      </c>
      <c r="J198" s="153"/>
      <c r="K198" s="155">
        <f>I198*cropvalue</f>
        <v>-0.3266524596138996</v>
      </c>
      <c r="M198" s="169"/>
      <c r="N198" s="166"/>
      <c r="O198" s="169"/>
      <c r="P198" s="169"/>
    </row>
    <row r="199" spans="1:16">
      <c r="A199" s="148" t="s">
        <v>1525</v>
      </c>
      <c r="B199" s="149" t="s">
        <v>529</v>
      </c>
      <c r="C199" s="149" t="s">
        <v>7</v>
      </c>
      <c r="D199" s="148" t="s">
        <v>668</v>
      </c>
      <c r="E199" s="158">
        <f t="shared" si="22"/>
        <v>-0.19980416988416985</v>
      </c>
      <c r="F199" s="159">
        <f t="shared" si="22"/>
        <v>3.6656305802779316</v>
      </c>
      <c r="G199" s="153">
        <f t="shared" si="25"/>
        <v>0.89</v>
      </c>
      <c r="H199" s="162">
        <f t="shared" si="23"/>
        <v>1.1000000000000001</v>
      </c>
      <c r="I199" s="154">
        <f t="shared" si="24"/>
        <v>-0.17782571119691118</v>
      </c>
      <c r="J199" s="153"/>
      <c r="K199" s="155">
        <f>I199*Fruitandveg_value</f>
        <v>-6.9352027366795369E-2</v>
      </c>
      <c r="M199" s="168"/>
      <c r="N199" s="166"/>
      <c r="O199" s="169"/>
      <c r="P199" s="169"/>
    </row>
    <row r="200" spans="1:16">
      <c r="A200" s="148" t="s">
        <v>1525</v>
      </c>
      <c r="B200" s="149" t="s">
        <v>538</v>
      </c>
      <c r="C200" s="149" t="s">
        <v>7</v>
      </c>
      <c r="D200" s="148" t="s">
        <v>668</v>
      </c>
      <c r="E200" s="158">
        <f t="shared" si="22"/>
        <v>-7.8710733590733592E-2</v>
      </c>
      <c r="F200" s="159">
        <f t="shared" si="22"/>
        <v>3.6656305802779316</v>
      </c>
      <c r="G200" s="153">
        <f t="shared" si="25"/>
        <v>0.89</v>
      </c>
      <c r="H200" s="162">
        <f t="shared" si="23"/>
        <v>1.1000000000000001</v>
      </c>
      <c r="I200" s="154">
        <f t="shared" si="24"/>
        <v>-7.0052552895752893E-2</v>
      </c>
      <c r="J200" s="153"/>
      <c r="K200" s="155">
        <f>I200*fishandmeatvalue</f>
        <v>-0.14711036108108108</v>
      </c>
      <c r="M200" s="169"/>
      <c r="N200" s="166"/>
      <c r="O200" s="169"/>
      <c r="P200" s="169"/>
    </row>
    <row r="201" spans="1:16">
      <c r="A201" s="148" t="s">
        <v>1525</v>
      </c>
      <c r="B201" s="148" t="s">
        <v>161</v>
      </c>
      <c r="C201" s="149" t="s">
        <v>7</v>
      </c>
      <c r="D201" s="148" t="s">
        <v>668</v>
      </c>
      <c r="E201" s="158">
        <f t="shared" si="22"/>
        <v>0</v>
      </c>
      <c r="F201" s="159">
        <f t="shared" si="22"/>
        <v>6.3246562435360429</v>
      </c>
      <c r="G201" s="153">
        <f t="shared" si="25"/>
        <v>0.89</v>
      </c>
      <c r="H201" s="162">
        <f t="shared" si="23"/>
        <v>1.1000000000000001</v>
      </c>
      <c r="I201" s="154">
        <f t="shared" si="24"/>
        <v>0</v>
      </c>
      <c r="J201" s="153"/>
      <c r="K201" s="155">
        <f>I201*woodvalue</f>
        <v>0</v>
      </c>
      <c r="M201" s="169"/>
      <c r="N201" s="166"/>
      <c r="O201" s="169"/>
      <c r="P201" s="169"/>
    </row>
    <row r="202" spans="1:16">
      <c r="A202" s="148" t="s">
        <v>1525</v>
      </c>
      <c r="B202" s="148" t="s">
        <v>508</v>
      </c>
      <c r="C202" s="149" t="s">
        <v>7</v>
      </c>
      <c r="D202" s="148" t="s">
        <v>668</v>
      </c>
      <c r="E202" s="158">
        <f t="shared" si="22"/>
        <v>-9.6067459459459457</v>
      </c>
      <c r="F202" s="159">
        <f t="shared" si="22"/>
        <v>3.6656305802779316</v>
      </c>
      <c r="G202" s="153">
        <f t="shared" si="25"/>
        <v>0.89</v>
      </c>
      <c r="H202" s="162">
        <f t="shared" si="23"/>
        <v>1.1000000000000001</v>
      </c>
      <c r="I202" s="154">
        <f t="shared" si="24"/>
        <v>-8.5500038918918921</v>
      </c>
      <c r="J202" s="153"/>
      <c r="K202" s="155">
        <f>I202*drinkingwatervalue</f>
        <v>-1.7100007783783785E-2</v>
      </c>
      <c r="M202" s="169"/>
      <c r="N202" s="166"/>
      <c r="O202" s="169"/>
      <c r="P202" s="169"/>
    </row>
    <row r="203" spans="1:16">
      <c r="A203" s="148" t="s">
        <v>1525</v>
      </c>
      <c r="B203" s="148" t="s">
        <v>510</v>
      </c>
      <c r="C203" s="149" t="s">
        <v>7</v>
      </c>
      <c r="D203" s="148" t="s">
        <v>668</v>
      </c>
      <c r="E203" s="158">
        <f t="shared" si="22"/>
        <v>-19.213491891891891</v>
      </c>
      <c r="F203" s="159">
        <f t="shared" si="22"/>
        <v>3.6656305802779316</v>
      </c>
      <c r="G203" s="153">
        <f t="shared" si="25"/>
        <v>0.89</v>
      </c>
      <c r="H203" s="162">
        <f t="shared" si="23"/>
        <v>1.1000000000000001</v>
      </c>
      <c r="I203" s="154">
        <f t="shared" si="24"/>
        <v>-17.100007783783784</v>
      </c>
      <c r="J203" s="153"/>
      <c r="K203" s="155">
        <f>I203*irrigationwatervalue</f>
        <v>-1.7100007783783785E-2</v>
      </c>
      <c r="M203" s="168"/>
      <c r="N203" s="166"/>
      <c r="O203" s="169"/>
      <c r="P203" s="169"/>
    </row>
    <row r="204" spans="1:16">
      <c r="A204" s="148" t="s">
        <v>1525</v>
      </c>
      <c r="B204" s="148" t="s">
        <v>511</v>
      </c>
      <c r="C204" s="149" t="s">
        <v>487</v>
      </c>
      <c r="D204" s="148" t="s">
        <v>668</v>
      </c>
      <c r="E204" s="158">
        <f t="shared" si="22"/>
        <v>-4.8518918918918909E-5</v>
      </c>
      <c r="F204" s="159">
        <f t="shared" si="22"/>
        <v>3.6656305802779316</v>
      </c>
      <c r="G204" s="153">
        <f t="shared" si="25"/>
        <v>0.89</v>
      </c>
      <c r="H204" s="162">
        <f t="shared" si="23"/>
        <v>1.1000000000000001</v>
      </c>
      <c r="I204" s="154">
        <f t="shared" si="24"/>
        <v>-4.318183783783783E-5</v>
      </c>
      <c r="J204" s="153"/>
      <c r="K204" s="155">
        <f>I204*energy_access</f>
        <v>-0.12090914594594593</v>
      </c>
      <c r="M204" s="168"/>
      <c r="N204" s="166"/>
      <c r="O204" s="169"/>
      <c r="P204" s="169"/>
    </row>
    <row r="205" spans="1:16">
      <c r="A205" s="148" t="s">
        <v>1525</v>
      </c>
      <c r="B205" s="149" t="s">
        <v>513</v>
      </c>
      <c r="C205" s="149" t="s">
        <v>5</v>
      </c>
      <c r="D205" s="148" t="s">
        <v>668</v>
      </c>
      <c r="E205" s="158">
        <f t="shared" si="22"/>
        <v>-3.0497606177606176E-6</v>
      </c>
      <c r="F205" s="159">
        <f t="shared" si="22"/>
        <v>3.6656305802779316</v>
      </c>
      <c r="G205" s="153">
        <f t="shared" si="25"/>
        <v>0.89</v>
      </c>
      <c r="H205" s="162">
        <f t="shared" si="23"/>
        <v>1.1000000000000001</v>
      </c>
      <c r="I205" s="154">
        <f t="shared" si="24"/>
        <v>-2.7142869498069496E-6</v>
      </c>
      <c r="J205" s="153"/>
      <c r="K205" s="155">
        <f>I205*housingvalue</f>
        <v>-5.4285738996138989E-3</v>
      </c>
      <c r="M205" s="169"/>
      <c r="N205" s="166"/>
      <c r="O205" s="169"/>
      <c r="P205" s="169"/>
    </row>
    <row r="206" spans="1:16">
      <c r="A206" s="148" t="s">
        <v>1525</v>
      </c>
      <c r="B206" s="149" t="s">
        <v>516</v>
      </c>
      <c r="C206" s="149" t="s">
        <v>523</v>
      </c>
      <c r="D206" s="148" t="s">
        <v>668</v>
      </c>
      <c r="E206" s="158">
        <f t="shared" si="22"/>
        <v>-3.4656370656370649E-5</v>
      </c>
      <c r="F206" s="159">
        <f t="shared" si="22"/>
        <v>3.6656305802779316</v>
      </c>
      <c r="G206" s="153">
        <f t="shared" si="25"/>
        <v>0.89</v>
      </c>
      <c r="H206" s="162">
        <f t="shared" si="23"/>
        <v>1.1000000000000001</v>
      </c>
      <c r="I206" s="154">
        <f t="shared" si="24"/>
        <v>-3.0844169884169881E-5</v>
      </c>
      <c r="J206" s="153"/>
      <c r="K206" s="155">
        <f>I206*migrationvalue</f>
        <v>-0.77110424710424696</v>
      </c>
      <c r="M206" s="169"/>
      <c r="N206" s="166"/>
      <c r="O206" s="169"/>
      <c r="P206" s="169"/>
    </row>
    <row r="207" spans="1:16">
      <c r="A207" s="148" t="s">
        <v>1525</v>
      </c>
      <c r="B207" s="148" t="s">
        <v>174</v>
      </c>
      <c r="C207" s="149" t="s">
        <v>505</v>
      </c>
      <c r="D207" s="148" t="s">
        <v>668</v>
      </c>
      <c r="E207" s="158">
        <f t="shared" si="22"/>
        <v>-3.4656370656370654E-14</v>
      </c>
      <c r="F207" s="159">
        <f t="shared" si="22"/>
        <v>3.6656305802779316</v>
      </c>
      <c r="G207" s="153">
        <f t="shared" si="25"/>
        <v>0.89</v>
      </c>
      <c r="H207" s="162">
        <f t="shared" si="23"/>
        <v>1.1000000000000001</v>
      </c>
      <c r="I207" s="154">
        <f t="shared" si="24"/>
        <v>-3.0844169884169885E-14</v>
      </c>
      <c r="J207" s="153"/>
      <c r="K207" s="155">
        <f>I207*speciesvalue</f>
        <v>-1.7272735135135135E-3</v>
      </c>
      <c r="M207" s="168"/>
      <c r="N207" s="166"/>
      <c r="O207" s="169"/>
      <c r="P207" s="169"/>
    </row>
    <row r="208" spans="1:16">
      <c r="A208" s="148" t="s">
        <v>1525</v>
      </c>
      <c r="B208" s="148" t="s">
        <v>538</v>
      </c>
      <c r="C208" s="149" t="s">
        <v>7</v>
      </c>
      <c r="D208" s="148" t="s">
        <v>173</v>
      </c>
      <c r="E208" s="158">
        <f t="shared" si="22"/>
        <v>1.8181818181818182E-3</v>
      </c>
      <c r="F208" s="159">
        <f t="shared" si="22"/>
        <v>3.6656305802779316</v>
      </c>
      <c r="G208" s="153">
        <f>64/(2*80.9)</f>
        <v>0.39555006180469715</v>
      </c>
      <c r="H208" s="162">
        <f t="shared" si="23"/>
        <v>1.1000000000000001</v>
      </c>
      <c r="I208" s="154">
        <f t="shared" si="24"/>
        <v>7.1918193055399481E-4</v>
      </c>
      <c r="J208" s="153"/>
      <c r="K208" s="155">
        <f>I208*fishandmeatvalue</f>
        <v>1.5102820541633892E-3</v>
      </c>
      <c r="M208" s="168"/>
      <c r="N208" s="166"/>
      <c r="O208" s="169"/>
      <c r="P208" s="169"/>
    </row>
    <row r="209" spans="1:16">
      <c r="A209" s="148" t="s">
        <v>1525</v>
      </c>
      <c r="B209" s="148" t="s">
        <v>174</v>
      </c>
      <c r="C209" s="149" t="s">
        <v>505</v>
      </c>
      <c r="D209" s="148" t="s">
        <v>173</v>
      </c>
      <c r="E209" s="158">
        <f>E134</f>
        <v>1.082053410820534E-14</v>
      </c>
      <c r="F209" s="159">
        <f>F134</f>
        <v>2.0130867471709437</v>
      </c>
      <c r="G209" s="153">
        <f>64/(2*80.9)</f>
        <v>0.39555006180469715</v>
      </c>
      <c r="H209" s="162">
        <f t="shared" si="23"/>
        <v>1.1000000000000001</v>
      </c>
      <c r="I209" s="154">
        <f t="shared" si="24"/>
        <v>4.2800629352604557E-15</v>
      </c>
      <c r="K209" s="155">
        <f>I209*speciesvalue</f>
        <v>2.3968352437458553E-4</v>
      </c>
      <c r="M209" s="168"/>
      <c r="N209" s="166"/>
      <c r="O209" s="169"/>
      <c r="P209" s="169"/>
    </row>
    <row r="210" spans="1:16">
      <c r="A210" s="148" t="s">
        <v>1525</v>
      </c>
      <c r="B210" s="149" t="s">
        <v>666</v>
      </c>
      <c r="C210" s="149" t="s">
        <v>7</v>
      </c>
      <c r="D210" s="148" t="s">
        <v>176</v>
      </c>
      <c r="E210" s="158">
        <f>E135</f>
        <v>6.981818181818181E-3</v>
      </c>
      <c r="F210" s="159">
        <f>F135</f>
        <v>3.0941278481682999</v>
      </c>
      <c r="G210" s="153">
        <f>64/(2*80.9)</f>
        <v>0.39555006180469715</v>
      </c>
      <c r="H210" s="162">
        <f t="shared" si="23"/>
        <v>1.1000000000000001</v>
      </c>
      <c r="I210" s="154">
        <f t="shared" si="24"/>
        <v>2.7616586133273396E-3</v>
      </c>
      <c r="K210" s="155">
        <f>I210*CO2value</f>
        <v>3.722173981248317E-4</v>
      </c>
      <c r="M210" s="168"/>
      <c r="N210" s="166"/>
      <c r="O210" s="169"/>
      <c r="P210" s="169"/>
    </row>
    <row r="211" spans="1:16">
      <c r="A211" s="148" t="s">
        <v>1525</v>
      </c>
      <c r="B211" s="148" t="s">
        <v>159</v>
      </c>
      <c r="D211" s="148" t="s">
        <v>159</v>
      </c>
      <c r="L211" s="155">
        <f>SUM(K192:K210)</f>
        <v>-28.009655215882802</v>
      </c>
      <c r="M211" s="169"/>
      <c r="N211" s="166"/>
      <c r="O211" s="169"/>
      <c r="P211" s="169"/>
    </row>
    <row r="212" spans="1:16">
      <c r="M212" s="169"/>
      <c r="N212" s="166"/>
      <c r="O212" s="169"/>
      <c r="P212" s="169"/>
    </row>
    <row r="213" spans="1:16">
      <c r="A213" s="149" t="s">
        <v>1526</v>
      </c>
      <c r="B213" s="148" t="s">
        <v>4</v>
      </c>
      <c r="C213" s="149" t="s">
        <v>5</v>
      </c>
      <c r="D213" s="148" t="s">
        <v>668</v>
      </c>
      <c r="E213" s="158">
        <f>E138</f>
        <v>-9.928052089575288E-5</v>
      </c>
      <c r="F213" s="159">
        <f>F117</f>
        <v>3.6656305802779316</v>
      </c>
      <c r="G213" s="153">
        <f>0.962</f>
        <v>0.96199999999999997</v>
      </c>
      <c r="H213" s="162">
        <f>H117</f>
        <v>1.1000000000000001</v>
      </c>
      <c r="I213" s="154">
        <f>E213*G213</f>
        <v>-9.5507861101714272E-5</v>
      </c>
      <c r="J213" s="153"/>
      <c r="K213" s="155">
        <f>I213*YOLLvalue</f>
        <v>-4.775393055085714</v>
      </c>
      <c r="M213" s="169"/>
      <c r="N213" s="166"/>
      <c r="O213" s="169"/>
      <c r="P213" s="169"/>
    </row>
    <row r="214" spans="1:16">
      <c r="A214" s="149" t="s">
        <v>1526</v>
      </c>
      <c r="B214" s="149" t="s">
        <v>558</v>
      </c>
      <c r="C214" s="149" t="s">
        <v>5</v>
      </c>
      <c r="D214" s="148" t="s">
        <v>668</v>
      </c>
      <c r="E214" s="158">
        <f t="shared" ref="E214:E231" si="26">E139</f>
        <v>4.8297599999999996E-5</v>
      </c>
      <c r="F214" s="159">
        <f t="shared" ref="F214:F231" si="27">F118</f>
        <v>4.7288043878374149</v>
      </c>
      <c r="G214" s="153">
        <f t="shared" ref="G214:G228" si="28">0.962</f>
        <v>0.96199999999999997</v>
      </c>
      <c r="H214" s="162">
        <f t="shared" ref="H214:H231" si="29">H118</f>
        <v>1.1000000000000001</v>
      </c>
      <c r="I214" s="154">
        <f t="shared" ref="I214:I231" si="30">E214*G214</f>
        <v>4.6462291199999996E-5</v>
      </c>
      <c r="J214" s="153"/>
      <c r="K214" s="155">
        <f>I214*asthmacasesvalue</f>
        <v>9.9893926079999987E-2</v>
      </c>
      <c r="M214" s="169"/>
      <c r="N214" s="166"/>
      <c r="O214" s="169"/>
      <c r="P214" s="169"/>
    </row>
    <row r="215" spans="1:16">
      <c r="A215" s="149" t="s">
        <v>1526</v>
      </c>
      <c r="B215" s="149" t="s">
        <v>658</v>
      </c>
      <c r="C215" s="149" t="s">
        <v>5</v>
      </c>
      <c r="D215" s="148" t="s">
        <v>668</v>
      </c>
      <c r="E215" s="158">
        <f t="shared" si="26"/>
        <v>3.7699999999999999E-6</v>
      </c>
      <c r="F215" s="159">
        <f t="shared" si="27"/>
        <v>4.7288043878374149</v>
      </c>
      <c r="G215" s="153">
        <f t="shared" si="28"/>
        <v>0.96199999999999997</v>
      </c>
      <c r="H215" s="162">
        <f t="shared" si="29"/>
        <v>1.1000000000000001</v>
      </c>
      <c r="I215" s="154">
        <f t="shared" si="30"/>
        <v>3.6267399999999998E-6</v>
      </c>
      <c r="J215" s="153"/>
      <c r="K215" s="155">
        <f>I215*COPDvalue</f>
        <v>6.945207099999999E-2</v>
      </c>
      <c r="M215" s="169"/>
      <c r="N215" s="166"/>
      <c r="O215" s="169"/>
      <c r="P215" s="169"/>
    </row>
    <row r="216" spans="1:16">
      <c r="A216" s="149" t="s">
        <v>1526</v>
      </c>
      <c r="B216" s="149" t="s">
        <v>519</v>
      </c>
      <c r="C216" s="149" t="s">
        <v>5</v>
      </c>
      <c r="D216" s="148" t="s">
        <v>668</v>
      </c>
      <c r="E216" s="158">
        <f t="shared" si="26"/>
        <v>-3.6597127413127409E-4</v>
      </c>
      <c r="F216" s="159">
        <f t="shared" si="27"/>
        <v>3.6656305802779316</v>
      </c>
      <c r="G216" s="153">
        <f t="shared" si="28"/>
        <v>0.96199999999999997</v>
      </c>
      <c r="H216" s="162">
        <f t="shared" si="29"/>
        <v>1.1000000000000001</v>
      </c>
      <c r="I216" s="154">
        <f t="shared" si="30"/>
        <v>-3.5206436571428565E-4</v>
      </c>
      <c r="J216" s="153"/>
      <c r="K216" s="155">
        <f>I216*malnutrition</f>
        <v>-3.362214692571428</v>
      </c>
      <c r="M216" s="168"/>
      <c r="N216" s="166"/>
      <c r="O216" s="169"/>
      <c r="P216" s="169"/>
    </row>
    <row r="217" spans="1:16">
      <c r="A217" s="149" t="s">
        <v>1526</v>
      </c>
      <c r="B217" s="149" t="s">
        <v>661</v>
      </c>
      <c r="C217" s="149" t="s">
        <v>5</v>
      </c>
      <c r="D217" s="148" t="s">
        <v>668</v>
      </c>
      <c r="E217" s="158">
        <f t="shared" si="26"/>
        <v>-3.6597127413127409E-4</v>
      </c>
      <c r="F217" s="159">
        <f t="shared" si="27"/>
        <v>3.6656305802779316</v>
      </c>
      <c r="G217" s="153">
        <f t="shared" si="28"/>
        <v>0.96199999999999997</v>
      </c>
      <c r="H217" s="162">
        <f t="shared" si="29"/>
        <v>1.1000000000000001</v>
      </c>
      <c r="I217" s="154">
        <f t="shared" si="30"/>
        <v>-3.5206436571428565E-4</v>
      </c>
      <c r="J217" s="153"/>
      <c r="K217" s="155">
        <f>I217*working_capacity</f>
        <v>-20.701384703999995</v>
      </c>
      <c r="M217" s="169"/>
      <c r="N217" s="166"/>
      <c r="O217" s="169"/>
      <c r="P217" s="169"/>
    </row>
    <row r="218" spans="1:16">
      <c r="A218" s="149" t="s">
        <v>1526</v>
      </c>
      <c r="B218" s="149" t="s">
        <v>521</v>
      </c>
      <c r="C218" s="149" t="s">
        <v>5</v>
      </c>
      <c r="D218" s="148" t="s">
        <v>668</v>
      </c>
      <c r="E218" s="158">
        <f t="shared" si="26"/>
        <v>-2.4398084942084942E-6</v>
      </c>
      <c r="F218" s="159">
        <f t="shared" si="27"/>
        <v>3.6656305802779316</v>
      </c>
      <c r="G218" s="153">
        <f t="shared" si="28"/>
        <v>0.96199999999999997</v>
      </c>
      <c r="H218" s="162">
        <f t="shared" si="29"/>
        <v>1.1000000000000001</v>
      </c>
      <c r="I218" s="154">
        <f t="shared" si="30"/>
        <v>-2.3470957714285715E-6</v>
      </c>
      <c r="J218" s="153"/>
      <c r="K218" s="155">
        <f>I218*diarrhea</f>
        <v>-1.2322252800000001E-2</v>
      </c>
      <c r="M218" s="169"/>
      <c r="N218" s="166"/>
      <c r="O218" s="169"/>
      <c r="P218" s="169"/>
    </row>
    <row r="219" spans="1:16">
      <c r="A219" s="149" t="s">
        <v>1526</v>
      </c>
      <c r="B219" s="149" t="s">
        <v>160</v>
      </c>
      <c r="C219" s="149" t="s">
        <v>7</v>
      </c>
      <c r="D219" s="148" t="s">
        <v>668</v>
      </c>
      <c r="E219" s="158">
        <f t="shared" si="26"/>
        <v>-1.6682965250965249</v>
      </c>
      <c r="F219" s="159">
        <f t="shared" si="27"/>
        <v>3.6656305802779316</v>
      </c>
      <c r="G219" s="153">
        <f t="shared" si="28"/>
        <v>0.96199999999999997</v>
      </c>
      <c r="H219" s="162">
        <f t="shared" si="29"/>
        <v>1.1000000000000001</v>
      </c>
      <c r="I219" s="154">
        <f t="shared" si="30"/>
        <v>-1.6049012571428569</v>
      </c>
      <c r="J219" s="153"/>
      <c r="K219" s="155">
        <f>I219*cropvalue</f>
        <v>-0.35307827657142854</v>
      </c>
      <c r="M219" s="169"/>
      <c r="N219" s="166"/>
      <c r="O219" s="169"/>
      <c r="P219" s="169"/>
    </row>
    <row r="220" spans="1:16">
      <c r="A220" s="149" t="s">
        <v>1526</v>
      </c>
      <c r="B220" s="149" t="s">
        <v>529</v>
      </c>
      <c r="C220" s="149" t="s">
        <v>7</v>
      </c>
      <c r="D220" s="148" t="s">
        <v>668</v>
      </c>
      <c r="E220" s="158">
        <f t="shared" si="26"/>
        <v>-0.19980416988416985</v>
      </c>
      <c r="F220" s="159">
        <f t="shared" si="27"/>
        <v>3.6656305802779316</v>
      </c>
      <c r="G220" s="153">
        <f t="shared" si="28"/>
        <v>0.96199999999999997</v>
      </c>
      <c r="H220" s="162">
        <f t="shared" si="29"/>
        <v>1.1000000000000001</v>
      </c>
      <c r="I220" s="154">
        <f t="shared" si="30"/>
        <v>-0.19221161142857138</v>
      </c>
      <c r="J220" s="153"/>
      <c r="K220" s="155">
        <f>I220*Fruitandveg_value</f>
        <v>-7.4962528457142838E-2</v>
      </c>
      <c r="M220" s="168"/>
      <c r="N220" s="166"/>
      <c r="O220" s="169"/>
      <c r="P220" s="169"/>
    </row>
    <row r="221" spans="1:16">
      <c r="A221" s="149" t="s">
        <v>1526</v>
      </c>
      <c r="B221" s="149" t="s">
        <v>538</v>
      </c>
      <c r="C221" s="149" t="s">
        <v>7</v>
      </c>
      <c r="D221" s="148" t="s">
        <v>668</v>
      </c>
      <c r="E221" s="158">
        <f t="shared" si="26"/>
        <v>-7.8710733590733592E-2</v>
      </c>
      <c r="F221" s="159">
        <f t="shared" si="27"/>
        <v>3.6656305802779316</v>
      </c>
      <c r="G221" s="153">
        <f t="shared" si="28"/>
        <v>0.96199999999999997</v>
      </c>
      <c r="H221" s="162">
        <f t="shared" si="29"/>
        <v>1.1000000000000001</v>
      </c>
      <c r="I221" s="154">
        <f t="shared" si="30"/>
        <v>-7.5719725714285716E-2</v>
      </c>
      <c r="J221" s="153"/>
      <c r="K221" s="155">
        <f>I221*fishandmeatvalue</f>
        <v>-0.15901142400000001</v>
      </c>
      <c r="M221" s="168"/>
      <c r="N221" s="166"/>
      <c r="O221" s="169"/>
      <c r="P221" s="169"/>
    </row>
    <row r="222" spans="1:16">
      <c r="A222" s="149" t="s">
        <v>1526</v>
      </c>
      <c r="B222" s="148" t="s">
        <v>161</v>
      </c>
      <c r="C222" s="149" t="s">
        <v>7</v>
      </c>
      <c r="D222" s="148" t="s">
        <v>668</v>
      </c>
      <c r="E222" s="158">
        <f t="shared" si="26"/>
        <v>0</v>
      </c>
      <c r="F222" s="159">
        <f t="shared" si="27"/>
        <v>6.3246562435360429</v>
      </c>
      <c r="G222" s="153">
        <f t="shared" si="28"/>
        <v>0.96199999999999997</v>
      </c>
      <c r="H222" s="162">
        <f t="shared" si="29"/>
        <v>1.1000000000000001</v>
      </c>
      <c r="I222" s="154">
        <f t="shared" si="30"/>
        <v>0</v>
      </c>
      <c r="J222" s="153"/>
      <c r="K222" s="155">
        <f>I222*woodvalue</f>
        <v>0</v>
      </c>
      <c r="M222" s="169"/>
      <c r="N222" s="166"/>
      <c r="O222" s="169"/>
      <c r="P222" s="169"/>
    </row>
    <row r="223" spans="1:16">
      <c r="A223" s="149" t="s">
        <v>1526</v>
      </c>
      <c r="B223" s="148" t="s">
        <v>508</v>
      </c>
      <c r="C223" s="149" t="s">
        <v>7</v>
      </c>
      <c r="D223" s="148" t="s">
        <v>668</v>
      </c>
      <c r="E223" s="158">
        <f t="shared" si="26"/>
        <v>-9.6067459459459457</v>
      </c>
      <c r="F223" s="159">
        <f t="shared" si="27"/>
        <v>3.6656305802779316</v>
      </c>
      <c r="G223" s="153">
        <f t="shared" si="28"/>
        <v>0.96199999999999997</v>
      </c>
      <c r="H223" s="162">
        <f t="shared" si="29"/>
        <v>1.1000000000000001</v>
      </c>
      <c r="I223" s="154">
        <f t="shared" si="30"/>
        <v>-9.2416895999999991</v>
      </c>
      <c r="J223" s="153"/>
      <c r="K223" s="155">
        <f>I223*drinkingwatervalue</f>
        <v>-1.8483379199999997E-2</v>
      </c>
      <c r="M223" s="169"/>
      <c r="N223" s="166"/>
      <c r="O223" s="169"/>
      <c r="P223" s="169"/>
    </row>
    <row r="224" spans="1:16">
      <c r="A224" s="149" t="s">
        <v>1526</v>
      </c>
      <c r="B224" s="148" t="s">
        <v>510</v>
      </c>
      <c r="C224" s="149" t="s">
        <v>7</v>
      </c>
      <c r="D224" s="148" t="s">
        <v>668</v>
      </c>
      <c r="E224" s="158">
        <f t="shared" si="26"/>
        <v>-19.213491891891891</v>
      </c>
      <c r="F224" s="159">
        <f t="shared" si="27"/>
        <v>3.6656305802779316</v>
      </c>
      <c r="G224" s="153">
        <f t="shared" si="28"/>
        <v>0.96199999999999997</v>
      </c>
      <c r="H224" s="162">
        <f t="shared" si="29"/>
        <v>1.1000000000000001</v>
      </c>
      <c r="I224" s="154">
        <f t="shared" si="30"/>
        <v>-18.483379199999998</v>
      </c>
      <c r="J224" s="153"/>
      <c r="K224" s="155">
        <f>I224*irrigationwatervalue</f>
        <v>-1.8483379199999997E-2</v>
      </c>
      <c r="M224" s="168"/>
      <c r="N224" s="166"/>
      <c r="O224" s="169"/>
      <c r="P224" s="169"/>
    </row>
    <row r="225" spans="1:16">
      <c r="A225" s="149" t="s">
        <v>1526</v>
      </c>
      <c r="B225" s="148" t="s">
        <v>511</v>
      </c>
      <c r="C225" s="149" t="s">
        <v>487</v>
      </c>
      <c r="D225" s="148" t="s">
        <v>668</v>
      </c>
      <c r="E225" s="158">
        <f t="shared" si="26"/>
        <v>-4.8518918918918909E-5</v>
      </c>
      <c r="F225" s="159">
        <f t="shared" si="27"/>
        <v>3.6656305802779316</v>
      </c>
      <c r="G225" s="153">
        <f t="shared" si="28"/>
        <v>0.96199999999999997</v>
      </c>
      <c r="H225" s="162">
        <f t="shared" si="29"/>
        <v>1.1000000000000001</v>
      </c>
      <c r="I225" s="154">
        <f t="shared" si="30"/>
        <v>-4.667519999999999E-5</v>
      </c>
      <c r="J225" s="153"/>
      <c r="K225" s="155">
        <f>I225*energy_access</f>
        <v>-0.13069055999999998</v>
      </c>
      <c r="M225" s="168"/>
      <c r="N225" s="166"/>
      <c r="O225" s="169"/>
      <c r="P225" s="169"/>
    </row>
    <row r="226" spans="1:16">
      <c r="A226" s="149" t="s">
        <v>1526</v>
      </c>
      <c r="B226" s="149" t="s">
        <v>513</v>
      </c>
      <c r="C226" s="149" t="s">
        <v>5</v>
      </c>
      <c r="D226" s="148" t="s">
        <v>668</v>
      </c>
      <c r="E226" s="158">
        <f t="shared" si="26"/>
        <v>-3.0497606177606176E-6</v>
      </c>
      <c r="F226" s="159">
        <f t="shared" si="27"/>
        <v>3.6656305802779316</v>
      </c>
      <c r="G226" s="153">
        <f t="shared" si="28"/>
        <v>0.96199999999999997</v>
      </c>
      <c r="H226" s="162">
        <f t="shared" si="29"/>
        <v>1.1000000000000001</v>
      </c>
      <c r="I226" s="154">
        <f t="shared" si="30"/>
        <v>-2.933869714285714E-6</v>
      </c>
      <c r="J226" s="153"/>
      <c r="K226" s="155">
        <f>I226*housingvalue</f>
        <v>-5.8677394285714278E-3</v>
      </c>
      <c r="M226" s="168"/>
      <c r="N226" s="166"/>
      <c r="O226" s="169"/>
      <c r="P226" s="169"/>
    </row>
    <row r="227" spans="1:16">
      <c r="A227" s="149" t="s">
        <v>1526</v>
      </c>
      <c r="B227" s="149" t="s">
        <v>516</v>
      </c>
      <c r="C227" s="149" t="s">
        <v>523</v>
      </c>
      <c r="D227" s="148" t="s">
        <v>668</v>
      </c>
      <c r="E227" s="158">
        <f t="shared" si="26"/>
        <v>-3.4656370656370649E-5</v>
      </c>
      <c r="F227" s="159">
        <f t="shared" si="27"/>
        <v>3.6656305802779316</v>
      </c>
      <c r="G227" s="153">
        <f t="shared" si="28"/>
        <v>0.96199999999999997</v>
      </c>
      <c r="H227" s="162">
        <f t="shared" si="29"/>
        <v>1.1000000000000001</v>
      </c>
      <c r="I227" s="154">
        <f t="shared" si="30"/>
        <v>-3.3339428571428563E-5</v>
      </c>
      <c r="J227" s="153"/>
      <c r="K227" s="155">
        <f>I227*migrationvalue</f>
        <v>-0.83348571428571405</v>
      </c>
      <c r="M227" s="168"/>
      <c r="N227" s="166"/>
      <c r="O227" s="169"/>
      <c r="P227" s="169"/>
    </row>
    <row r="228" spans="1:16">
      <c r="A228" s="149" t="s">
        <v>1526</v>
      </c>
      <c r="B228" s="148" t="s">
        <v>174</v>
      </c>
      <c r="C228" s="149" t="s">
        <v>505</v>
      </c>
      <c r="D228" s="148" t="s">
        <v>668</v>
      </c>
      <c r="E228" s="158">
        <f t="shared" si="26"/>
        <v>-3.4656370656370654E-14</v>
      </c>
      <c r="F228" s="159">
        <f t="shared" si="27"/>
        <v>3.6656305802779316</v>
      </c>
      <c r="G228" s="153">
        <f t="shared" si="28"/>
        <v>0.96199999999999997</v>
      </c>
      <c r="H228" s="162">
        <f t="shared" si="29"/>
        <v>1.1000000000000001</v>
      </c>
      <c r="I228" s="154">
        <f t="shared" si="30"/>
        <v>-3.333942857142857E-14</v>
      </c>
      <c r="J228" s="153"/>
      <c r="K228" s="155">
        <f>I228*speciesvalue</f>
        <v>-1.8670079999999999E-3</v>
      </c>
      <c r="M228" s="169"/>
      <c r="N228" s="166"/>
      <c r="O228" s="169"/>
      <c r="P228" s="169"/>
    </row>
    <row r="229" spans="1:16">
      <c r="A229" s="149" t="s">
        <v>1526</v>
      </c>
      <c r="B229" s="148" t="s">
        <v>538</v>
      </c>
      <c r="C229" s="149" t="s">
        <v>7</v>
      </c>
      <c r="D229" s="148" t="s">
        <v>173</v>
      </c>
      <c r="E229" s="158">
        <f t="shared" si="26"/>
        <v>1.8181818181818182E-3</v>
      </c>
      <c r="F229" s="159">
        <f t="shared" si="27"/>
        <v>3.6656305802779316</v>
      </c>
      <c r="G229" s="153">
        <f>64/(2*27)</f>
        <v>1.1851851851851851</v>
      </c>
      <c r="H229" s="162">
        <f t="shared" si="29"/>
        <v>1.1000000000000001</v>
      </c>
      <c r="I229" s="154">
        <f t="shared" si="30"/>
        <v>2.1548821548821547E-3</v>
      </c>
      <c r="J229" s="153"/>
      <c r="K229" s="155">
        <f>I229*fishandmeatvalue</f>
        <v>4.5252525252525251E-3</v>
      </c>
      <c r="M229" s="169"/>
      <c r="N229" s="166"/>
      <c r="O229" s="169"/>
      <c r="P229" s="169"/>
    </row>
    <row r="230" spans="1:16">
      <c r="A230" s="149" t="s">
        <v>1526</v>
      </c>
      <c r="B230" s="148" t="s">
        <v>174</v>
      </c>
      <c r="C230" s="149" t="s">
        <v>505</v>
      </c>
      <c r="D230" s="148" t="s">
        <v>173</v>
      </c>
      <c r="E230" s="158">
        <f t="shared" si="26"/>
        <v>1.082053410820534E-14</v>
      </c>
      <c r="F230" s="159">
        <f t="shared" si="27"/>
        <v>2.0130867471709437</v>
      </c>
      <c r="G230" s="153">
        <f>64/(2*27)</f>
        <v>1.1851851851851851</v>
      </c>
      <c r="H230" s="162">
        <f t="shared" si="29"/>
        <v>1.1000000000000001</v>
      </c>
      <c r="I230" s="154">
        <f t="shared" si="30"/>
        <v>1.2824336720835957E-14</v>
      </c>
      <c r="K230" s="155">
        <f>I230*speciesvalue</f>
        <v>7.1816285636681356E-4</v>
      </c>
      <c r="M230" s="169"/>
      <c r="N230" s="166"/>
      <c r="O230" s="169"/>
      <c r="P230" s="169"/>
    </row>
    <row r="231" spans="1:16">
      <c r="A231" s="149" t="s">
        <v>1526</v>
      </c>
      <c r="B231" s="149" t="s">
        <v>666</v>
      </c>
      <c r="C231" s="149" t="s">
        <v>7</v>
      </c>
      <c r="D231" s="148" t="s">
        <v>176</v>
      </c>
      <c r="E231" s="158">
        <f t="shared" si="26"/>
        <v>6.981818181818181E-3</v>
      </c>
      <c r="F231" s="159">
        <f t="shared" si="27"/>
        <v>3.0941278481682999</v>
      </c>
      <c r="G231" s="153">
        <f>64/(2*27)</f>
        <v>1.1851851851851851</v>
      </c>
      <c r="H231" s="162">
        <f t="shared" si="29"/>
        <v>1.1000000000000001</v>
      </c>
      <c r="I231" s="154">
        <f t="shared" si="30"/>
        <v>8.2747474747474729E-3</v>
      </c>
      <c r="K231" s="155">
        <f>I231*CO2value</f>
        <v>1.1152736114184772E-3</v>
      </c>
      <c r="M231" s="169"/>
      <c r="N231" s="166"/>
      <c r="O231" s="169"/>
      <c r="P231" s="169"/>
    </row>
    <row r="232" spans="1:16">
      <c r="A232" s="149" t="s">
        <v>1526</v>
      </c>
      <c r="B232" s="148" t="s">
        <v>159</v>
      </c>
      <c r="D232" s="148" t="s">
        <v>159</v>
      </c>
      <c r="L232" s="155">
        <f>SUM(K213:K231)</f>
        <v>-30.271540027526957</v>
      </c>
      <c r="M232" s="168"/>
      <c r="N232" s="166"/>
      <c r="O232" s="169"/>
      <c r="P232" s="169"/>
    </row>
    <row r="233" spans="1:16">
      <c r="I233" s="153"/>
      <c r="M233" s="169"/>
      <c r="N233" s="166"/>
      <c r="O233" s="169"/>
      <c r="P233" s="169"/>
    </row>
    <row r="234" spans="1:16">
      <c r="A234" s="149" t="s">
        <v>1527</v>
      </c>
      <c r="B234" s="149" t="s">
        <v>4</v>
      </c>
      <c r="C234" s="149" t="s">
        <v>5</v>
      </c>
      <c r="D234" s="149" t="s">
        <v>164</v>
      </c>
      <c r="E234" s="163">
        <f>36000/314*7200</f>
        <v>825477.70700636948</v>
      </c>
      <c r="F234" s="148">
        <v>3</v>
      </c>
      <c r="G234" s="153">
        <f>1/4500000000000</f>
        <v>2.2222222222222222E-13</v>
      </c>
      <c r="H234" s="148">
        <v>1.2</v>
      </c>
      <c r="I234" s="154">
        <f t="shared" ref="I234:I250" si="31">E234*G234</f>
        <v>1.8343949044585989E-7</v>
      </c>
      <c r="K234" s="155">
        <f>I234*YOLLvalue</f>
        <v>9.1719745222929947E-3</v>
      </c>
      <c r="M234" s="169"/>
      <c r="N234" s="166"/>
      <c r="O234" s="169"/>
      <c r="P234" s="169"/>
    </row>
    <row r="235" spans="1:16">
      <c r="A235" s="149" t="s">
        <v>1527</v>
      </c>
      <c r="B235" s="149" t="s">
        <v>4</v>
      </c>
      <c r="C235" s="149" t="s">
        <v>5</v>
      </c>
      <c r="D235" s="149" t="s">
        <v>530</v>
      </c>
      <c r="E235" s="154">
        <f>E8</f>
        <v>2864712000</v>
      </c>
      <c r="F235" s="159">
        <f>EXP(SQRT(LN(F5)^2+LN(H5)^2))</f>
        <v>3.8661629807182414</v>
      </c>
      <c r="G235" s="153">
        <f>1/4500000000000</f>
        <v>2.2222222222222222E-13</v>
      </c>
      <c r="H235" s="148">
        <v>1.2</v>
      </c>
      <c r="I235" s="154">
        <f t="shared" si="31"/>
        <v>6.3660266666666664E-4</v>
      </c>
      <c r="K235" s="155">
        <f>I235*YOLLvalue</f>
        <v>31.830133333333333</v>
      </c>
      <c r="M235" s="169"/>
      <c r="N235" s="166"/>
      <c r="O235" s="169"/>
      <c r="P235" s="169"/>
    </row>
    <row r="236" spans="1:16">
      <c r="A236" s="149" t="s">
        <v>1527</v>
      </c>
      <c r="B236" s="149" t="s">
        <v>519</v>
      </c>
      <c r="C236" s="149" t="s">
        <v>5</v>
      </c>
      <c r="D236" s="149" t="s">
        <v>530</v>
      </c>
      <c r="E236" s="154">
        <f>E9</f>
        <v>10560000000</v>
      </c>
      <c r="F236" s="159">
        <f>EXP(SQRT(LN(F9)^2+LN(H9)^2))</f>
        <v>2.8571313313055411</v>
      </c>
      <c r="G236" s="153">
        <f>G9*0.44</f>
        <v>9.9665379665379656E-17</v>
      </c>
      <c r="H236" s="148">
        <v>1.5</v>
      </c>
      <c r="I236" s="154">
        <f t="shared" si="31"/>
        <v>1.0524664092664091E-6</v>
      </c>
      <c r="J236" s="153"/>
      <c r="K236" s="155">
        <f>I236*malnutrition</f>
        <v>1.0051054208494207E-2</v>
      </c>
      <c r="M236" s="168"/>
      <c r="N236" s="166"/>
      <c r="O236" s="169"/>
      <c r="P236" s="169"/>
    </row>
    <row r="237" spans="1:16">
      <c r="A237" s="149" t="s">
        <v>1527</v>
      </c>
      <c r="B237" s="149" t="s">
        <v>661</v>
      </c>
      <c r="C237" s="149" t="s">
        <v>5</v>
      </c>
      <c r="D237" s="149" t="s">
        <v>156</v>
      </c>
      <c r="E237" s="154">
        <f>E10</f>
        <v>5148000000</v>
      </c>
      <c r="F237" s="159">
        <f>EXP(SQRT(LN(F10)^2+LN(H10)^2))</f>
        <v>2.8571313313055411</v>
      </c>
      <c r="G237" s="153">
        <f>G10*0.44</f>
        <v>9.9665379665379656E-17</v>
      </c>
      <c r="H237" s="148">
        <v>1.5</v>
      </c>
      <c r="I237" s="154">
        <f t="shared" si="31"/>
        <v>5.1307737451737449E-7</v>
      </c>
      <c r="J237" s="153"/>
      <c r="K237" s="155">
        <f>I237*working_capacity</f>
        <v>3.0168949621621619E-2</v>
      </c>
      <c r="M237" s="168"/>
      <c r="N237" s="166"/>
      <c r="O237" s="169"/>
      <c r="P237" s="169"/>
    </row>
    <row r="238" spans="1:16">
      <c r="A238" s="149" t="s">
        <v>1527</v>
      </c>
      <c r="B238" s="149" t="s">
        <v>521</v>
      </c>
      <c r="C238" s="149" t="s">
        <v>5</v>
      </c>
      <c r="D238" s="149" t="s">
        <v>526</v>
      </c>
      <c r="E238" s="154">
        <f>E11</f>
        <v>70400000</v>
      </c>
      <c r="F238" s="159">
        <f t="shared" ref="F238:F250" si="32">EXP(SQRT(LN(F11)^2+LN(H11)^2))</f>
        <v>2.8571313313055411</v>
      </c>
      <c r="G238" s="153">
        <f>G11*0.44</f>
        <v>9.9665379665379656E-17</v>
      </c>
      <c r="H238" s="148">
        <v>1.5</v>
      </c>
      <c r="I238" s="154">
        <f t="shared" si="31"/>
        <v>7.016442728442728E-9</v>
      </c>
      <c r="K238" s="155">
        <f>I238*diarrhea</f>
        <v>3.6836324324324325E-5</v>
      </c>
      <c r="L238" s="164"/>
      <c r="M238" s="169"/>
      <c r="N238" s="166"/>
      <c r="O238" s="169"/>
      <c r="P238" s="169"/>
    </row>
    <row r="239" spans="1:16">
      <c r="A239" s="149" t="s">
        <v>1527</v>
      </c>
      <c r="B239" s="149" t="s">
        <v>160</v>
      </c>
      <c r="C239" s="149" t="s">
        <v>7</v>
      </c>
      <c r="D239" s="149" t="s">
        <v>530</v>
      </c>
      <c r="E239" s="154">
        <f t="shared" ref="E239:F250" si="33">E12</f>
        <v>16888235294117.648</v>
      </c>
      <c r="F239" s="159">
        <f t="shared" si="32"/>
        <v>2.8571313313055411</v>
      </c>
      <c r="G239" s="153">
        <f t="shared" ref="G239:G250" si="34">G12*0.44</f>
        <v>9.9665379665379656E-17</v>
      </c>
      <c r="H239" s="148">
        <v>1.5</v>
      </c>
      <c r="I239" s="154">
        <f t="shared" si="31"/>
        <v>1.6831723824665E-3</v>
      </c>
      <c r="K239" s="155">
        <f>I239*cropvalue</f>
        <v>3.7029792414263E-4</v>
      </c>
      <c r="M239" s="169"/>
      <c r="N239" s="166"/>
      <c r="O239" s="169"/>
      <c r="P239" s="169"/>
    </row>
    <row r="240" spans="1:16">
      <c r="A240" s="149" t="s">
        <v>1527</v>
      </c>
      <c r="B240" s="149" t="s">
        <v>160</v>
      </c>
      <c r="C240" s="149" t="s">
        <v>7</v>
      </c>
      <c r="D240" s="149" t="s">
        <v>533</v>
      </c>
      <c r="E240" s="154">
        <f t="shared" si="33"/>
        <v>31250000000000</v>
      </c>
      <c r="F240" s="159">
        <f t="shared" si="32"/>
        <v>3.8661629807182414</v>
      </c>
      <c r="G240" s="153">
        <f t="shared" si="34"/>
        <v>9.9665379665379656E-17</v>
      </c>
      <c r="H240" s="148">
        <v>1.5</v>
      </c>
      <c r="I240" s="154">
        <f t="shared" si="31"/>
        <v>3.1145431145431141E-3</v>
      </c>
      <c r="J240" s="153"/>
      <c r="K240" s="155">
        <f>I240*cropvalue</f>
        <v>6.8519948519948513E-4</v>
      </c>
      <c r="M240" s="168"/>
      <c r="N240" s="166"/>
      <c r="O240" s="169"/>
      <c r="P240" s="169"/>
    </row>
    <row r="241" spans="1:16">
      <c r="A241" s="149" t="s">
        <v>1527</v>
      </c>
      <c r="B241" s="149" t="s">
        <v>160</v>
      </c>
      <c r="C241" s="149" t="s">
        <v>7</v>
      </c>
      <c r="D241" s="149" t="s">
        <v>164</v>
      </c>
      <c r="E241" s="154">
        <f>E53</f>
        <v>90000000000</v>
      </c>
      <c r="F241" s="159">
        <f>EXP(SQRT(LN(F53)^2+LN(H53)^2))</f>
        <v>2.2322914680502111</v>
      </c>
      <c r="G241" s="153">
        <f>1/4500000000000</f>
        <v>2.2222222222222222E-13</v>
      </c>
      <c r="H241" s="148">
        <v>1.2</v>
      </c>
      <c r="I241" s="154">
        <f t="shared" si="31"/>
        <v>0.02</v>
      </c>
      <c r="J241" s="153"/>
      <c r="K241" s="155">
        <f>I241*cropvalue</f>
        <v>4.4000000000000003E-3</v>
      </c>
      <c r="M241" s="168"/>
      <c r="N241" s="166"/>
      <c r="O241" s="169"/>
      <c r="P241" s="169"/>
    </row>
    <row r="242" spans="1:16">
      <c r="A242" s="149" t="s">
        <v>1527</v>
      </c>
      <c r="B242" s="149" t="s">
        <v>529</v>
      </c>
      <c r="C242" s="149" t="s">
        <v>7</v>
      </c>
      <c r="D242" s="149" t="s">
        <v>530</v>
      </c>
      <c r="E242" s="154">
        <f t="shared" si="33"/>
        <v>5765294117647.0586</v>
      </c>
      <c r="F242" s="159">
        <f t="shared" si="32"/>
        <v>2.8571313313055411</v>
      </c>
      <c r="G242" s="153">
        <f t="shared" si="34"/>
        <v>9.9665379665379656E-17</v>
      </c>
      <c r="H242" s="148">
        <v>1.5</v>
      </c>
      <c r="I242" s="154">
        <f t="shared" si="31"/>
        <v>5.7460022711787408E-4</v>
      </c>
      <c r="K242" s="155">
        <f>I242*Fruitandveg_value</f>
        <v>2.240940885759709E-4</v>
      </c>
      <c r="M242" s="168"/>
      <c r="N242" s="166"/>
      <c r="O242" s="169"/>
      <c r="P242" s="169"/>
    </row>
    <row r="243" spans="1:16">
      <c r="A243" s="149" t="s">
        <v>1527</v>
      </c>
      <c r="B243" s="149" t="s">
        <v>538</v>
      </c>
      <c r="C243" s="149" t="s">
        <v>7</v>
      </c>
      <c r="D243" s="149" t="s">
        <v>509</v>
      </c>
      <c r="E243" s="154">
        <f t="shared" si="33"/>
        <v>2271176470588.2358</v>
      </c>
      <c r="F243" s="159">
        <f t="shared" si="32"/>
        <v>2.8571313313055411</v>
      </c>
      <c r="G243" s="153">
        <f t="shared" si="34"/>
        <v>9.9665379665379656E-17</v>
      </c>
      <c r="H243" s="148">
        <v>1.5</v>
      </c>
      <c r="I243" s="154">
        <f t="shared" si="31"/>
        <v>2.2635766522825351E-4</v>
      </c>
      <c r="K243" s="155">
        <f>I243*fishandmeatvalue</f>
        <v>4.7535109697933238E-4</v>
      </c>
      <c r="M243" s="168"/>
      <c r="N243" s="166"/>
      <c r="O243" s="169"/>
      <c r="P243" s="169"/>
    </row>
    <row r="244" spans="1:16">
      <c r="A244" s="149" t="s">
        <v>1527</v>
      </c>
      <c r="B244" s="148" t="s">
        <v>161</v>
      </c>
      <c r="C244" s="149" t="s">
        <v>7</v>
      </c>
      <c r="D244" s="149" t="s">
        <v>530</v>
      </c>
      <c r="E244" s="154">
        <f t="shared" si="33"/>
        <v>0</v>
      </c>
      <c r="F244" s="154">
        <f t="shared" si="33"/>
        <v>800000000000000</v>
      </c>
      <c r="G244" s="153">
        <f t="shared" si="34"/>
        <v>9.9665379665379656E-17</v>
      </c>
      <c r="H244" s="148">
        <v>1.5</v>
      </c>
      <c r="I244" s="154">
        <f t="shared" si="31"/>
        <v>0</v>
      </c>
      <c r="K244" s="155">
        <f>I244*woodvalue</f>
        <v>0</v>
      </c>
      <c r="M244" s="169"/>
      <c r="N244" s="166"/>
      <c r="O244" s="169"/>
      <c r="P244" s="169"/>
    </row>
    <row r="245" spans="1:16">
      <c r="A245" s="149" t="s">
        <v>1527</v>
      </c>
      <c r="B245" s="148" t="s">
        <v>508</v>
      </c>
      <c r="C245" s="149" t="s">
        <v>7</v>
      </c>
      <c r="D245" s="149" t="s">
        <v>530</v>
      </c>
      <c r="E245" s="154">
        <f t="shared" si="33"/>
        <v>277200000000000</v>
      </c>
      <c r="F245" s="159">
        <f t="shared" si="32"/>
        <v>3.8661629807182414</v>
      </c>
      <c r="G245" s="153">
        <f t="shared" si="34"/>
        <v>9.9665379665379656E-17</v>
      </c>
      <c r="H245" s="148">
        <v>1.5</v>
      </c>
      <c r="I245" s="154">
        <f t="shared" si="31"/>
        <v>2.7627243243243241E-2</v>
      </c>
      <c r="K245" s="155">
        <f>I245*drinkingwatervalue</f>
        <v>5.5254486486486481E-5</v>
      </c>
      <c r="M245" s="169"/>
      <c r="N245" s="166"/>
      <c r="O245" s="169"/>
      <c r="P245" s="169"/>
    </row>
    <row r="246" spans="1:16">
      <c r="A246" s="149" t="s">
        <v>1527</v>
      </c>
      <c r="B246" s="148" t="s">
        <v>510</v>
      </c>
      <c r="C246" s="149" t="s">
        <v>7</v>
      </c>
      <c r="D246" s="149" t="s">
        <v>530</v>
      </c>
      <c r="E246" s="154">
        <f t="shared" si="33"/>
        <v>554400000000000</v>
      </c>
      <c r="F246" s="159">
        <f t="shared" si="32"/>
        <v>3.8661629807182414</v>
      </c>
      <c r="G246" s="153">
        <f t="shared" si="34"/>
        <v>9.9665379665379656E-17</v>
      </c>
      <c r="H246" s="148">
        <v>1.5</v>
      </c>
      <c r="I246" s="154">
        <f t="shared" si="31"/>
        <v>5.5254486486486482E-2</v>
      </c>
      <c r="K246" s="155">
        <f>I246*irrigationwatervalue</f>
        <v>5.5254486486486481E-5</v>
      </c>
      <c r="M246" s="169"/>
      <c r="N246" s="166"/>
      <c r="O246" s="169"/>
      <c r="P246" s="169"/>
    </row>
    <row r="247" spans="1:16">
      <c r="A247" s="149" t="s">
        <v>1527</v>
      </c>
      <c r="B247" s="148" t="s">
        <v>511</v>
      </c>
      <c r="C247" s="149" t="s">
        <v>487</v>
      </c>
      <c r="D247" s="149" t="s">
        <v>512</v>
      </c>
      <c r="E247" s="154">
        <f t="shared" si="33"/>
        <v>1400000000</v>
      </c>
      <c r="F247" s="159">
        <f t="shared" si="32"/>
        <v>4.9274825772801725</v>
      </c>
      <c r="G247" s="153">
        <f t="shared" si="34"/>
        <v>9.9665379665379656E-17</v>
      </c>
      <c r="H247" s="148">
        <v>1.5</v>
      </c>
      <c r="I247" s="154">
        <f t="shared" si="31"/>
        <v>1.3953153153153152E-7</v>
      </c>
      <c r="J247" s="153"/>
      <c r="K247" s="155">
        <f>I247*energy_access</f>
        <v>3.9068828828828824E-4</v>
      </c>
      <c r="M247" s="168"/>
      <c r="N247" s="166"/>
      <c r="O247" s="169"/>
      <c r="P247" s="169"/>
    </row>
    <row r="248" spans="1:16">
      <c r="A248" s="149" t="s">
        <v>1527</v>
      </c>
      <c r="B248" s="149" t="s">
        <v>1499</v>
      </c>
      <c r="C248" s="149" t="s">
        <v>1483</v>
      </c>
      <c r="D248" s="149" t="s">
        <v>514</v>
      </c>
      <c r="E248" s="154">
        <f t="shared" si="33"/>
        <v>88000000</v>
      </c>
      <c r="F248" s="159">
        <f t="shared" si="32"/>
        <v>4.9274825772801725</v>
      </c>
      <c r="G248" s="153">
        <f t="shared" si="34"/>
        <v>9.9665379665379656E-17</v>
      </c>
      <c r="H248" s="148">
        <v>1.5</v>
      </c>
      <c r="I248" s="154">
        <f t="shared" si="31"/>
        <v>8.7705534105534096E-9</v>
      </c>
      <c r="K248" s="155">
        <f>I248*housingvalue</f>
        <v>1.7541106821106821E-5</v>
      </c>
      <c r="M248" s="169"/>
      <c r="N248" s="166"/>
      <c r="O248" s="169"/>
      <c r="P248" s="169"/>
    </row>
    <row r="249" spans="1:16">
      <c r="A249" s="149" t="s">
        <v>1527</v>
      </c>
      <c r="B249" s="148" t="s">
        <v>515</v>
      </c>
      <c r="C249" s="149" t="s">
        <v>523</v>
      </c>
      <c r="D249" s="149" t="s">
        <v>516</v>
      </c>
      <c r="E249" s="154">
        <f t="shared" si="33"/>
        <v>1000000000</v>
      </c>
      <c r="F249" s="159">
        <f t="shared" si="32"/>
        <v>4.9274825772801725</v>
      </c>
      <c r="G249" s="153">
        <f t="shared" si="34"/>
        <v>9.9665379665379656E-17</v>
      </c>
      <c r="H249" s="148">
        <v>1.5</v>
      </c>
      <c r="I249" s="154">
        <f t="shared" si="31"/>
        <v>9.9665379665379662E-8</v>
      </c>
      <c r="K249" s="155">
        <f>I249*migrationvalue</f>
        <v>2.4916344916344917E-3</v>
      </c>
      <c r="M249" s="169"/>
      <c r="N249" s="166"/>
      <c r="O249" s="169"/>
      <c r="P249" s="169"/>
    </row>
    <row r="250" spans="1:16">
      <c r="A250" s="149" t="s">
        <v>1527</v>
      </c>
      <c r="B250" s="148" t="s">
        <v>174</v>
      </c>
      <c r="C250" s="149" t="s">
        <v>505</v>
      </c>
      <c r="D250" s="148" t="s">
        <v>507</v>
      </c>
      <c r="E250" s="154">
        <f t="shared" si="33"/>
        <v>1</v>
      </c>
      <c r="F250" s="159">
        <f t="shared" si="32"/>
        <v>4.9274825772801725</v>
      </c>
      <c r="G250" s="153">
        <f t="shared" si="34"/>
        <v>9.9665379665379656E-17</v>
      </c>
      <c r="H250" s="148">
        <v>1.5</v>
      </c>
      <c r="I250" s="154">
        <f t="shared" si="31"/>
        <v>9.9665379665379656E-17</v>
      </c>
      <c r="J250" s="153"/>
      <c r="K250" s="155">
        <f>I250*speciesvalue</f>
        <v>5.5812612612612608E-6</v>
      </c>
      <c r="M250" s="168"/>
      <c r="N250" s="166"/>
      <c r="O250" s="169"/>
      <c r="P250" s="169"/>
    </row>
    <row r="251" spans="1:16">
      <c r="A251" s="149" t="s">
        <v>1527</v>
      </c>
      <c r="B251" s="148" t="s">
        <v>159</v>
      </c>
      <c r="D251" s="148" t="s">
        <v>159</v>
      </c>
      <c r="I251" s="153"/>
      <c r="J251" s="153"/>
      <c r="L251" s="155">
        <f>SUM(K234:K250)</f>
        <v>31.888733044725942</v>
      </c>
      <c r="M251" s="168"/>
      <c r="N251" s="166"/>
      <c r="O251" s="169"/>
      <c r="P251" s="169"/>
    </row>
    <row r="252" spans="1:16">
      <c r="I252" s="153"/>
      <c r="M252" s="169"/>
      <c r="N252" s="166"/>
      <c r="O252" s="169"/>
      <c r="P252" s="169"/>
    </row>
    <row r="253" spans="1:16">
      <c r="I253" s="153"/>
      <c r="M253" s="169"/>
      <c r="N253" s="166"/>
      <c r="O253" s="169"/>
      <c r="P253" s="169"/>
    </row>
    <row r="254" spans="1:16">
      <c r="J254" s="153"/>
      <c r="M254" s="168"/>
      <c r="N254" s="166"/>
      <c r="O254" s="169"/>
      <c r="P254" s="169"/>
    </row>
    <row r="255" spans="1:16">
      <c r="I255" s="153"/>
      <c r="J255" s="153"/>
      <c r="M255" s="168"/>
      <c r="N255" s="166"/>
      <c r="O255" s="169"/>
      <c r="P255" s="169"/>
    </row>
    <row r="256" spans="1:16">
      <c r="I256" s="153"/>
      <c r="M256" s="168"/>
      <c r="N256" s="166"/>
      <c r="O256" s="169"/>
      <c r="P256" s="169"/>
    </row>
    <row r="257" spans="9:16">
      <c r="M257" s="168"/>
      <c r="N257" s="166"/>
      <c r="O257" s="169"/>
      <c r="P257" s="169"/>
    </row>
    <row r="258" spans="9:16">
      <c r="M258" s="169"/>
      <c r="N258" s="166"/>
      <c r="O258" s="169"/>
      <c r="P258" s="169"/>
    </row>
    <row r="259" spans="9:16">
      <c r="I259" s="153"/>
      <c r="M259" s="169"/>
      <c r="N259" s="166"/>
      <c r="O259" s="169"/>
      <c r="P259" s="169"/>
    </row>
    <row r="260" spans="9:16">
      <c r="I260" s="153"/>
      <c r="M260" s="169"/>
      <c r="N260" s="166"/>
      <c r="O260" s="169"/>
      <c r="P260" s="169"/>
    </row>
    <row r="261" spans="9:16">
      <c r="I261" s="153"/>
      <c r="M261" s="169"/>
      <c r="N261" s="166"/>
      <c r="O261" s="169"/>
      <c r="P261" s="169"/>
    </row>
    <row r="262" spans="9:16">
      <c r="I262" s="153"/>
      <c r="J262" s="153"/>
      <c r="M262" s="168"/>
      <c r="N262" s="166"/>
      <c r="O262" s="169"/>
      <c r="P262" s="169"/>
    </row>
    <row r="263" spans="9:16">
      <c r="I263" s="153"/>
      <c r="M263" s="169"/>
      <c r="N263" s="166"/>
      <c r="O263" s="169"/>
      <c r="P263" s="169"/>
    </row>
    <row r="264" spans="9:16">
      <c r="I264" s="153"/>
      <c r="M264" s="169"/>
      <c r="N264" s="166"/>
      <c r="O264" s="169"/>
      <c r="P264" s="169"/>
    </row>
    <row r="265" spans="9:16">
      <c r="I265" s="153"/>
      <c r="M265" s="169"/>
      <c r="N265" s="166"/>
      <c r="O265" s="169"/>
      <c r="P265" s="169"/>
    </row>
    <row r="266" spans="9:16">
      <c r="J266" s="153"/>
      <c r="M266" s="168"/>
      <c r="N266" s="166"/>
      <c r="O266" s="169"/>
      <c r="P266" s="169"/>
    </row>
    <row r="267" spans="9:16">
      <c r="I267" s="153"/>
      <c r="J267" s="153"/>
      <c r="M267" s="168"/>
      <c r="N267" s="166"/>
      <c r="O267" s="169"/>
      <c r="P267" s="169"/>
    </row>
    <row r="268" spans="9:16">
      <c r="I268" s="153"/>
      <c r="M268" s="169"/>
      <c r="N268" s="166"/>
      <c r="O268" s="169"/>
      <c r="P268" s="169"/>
    </row>
    <row r="269" spans="9:16">
      <c r="I269" s="153"/>
      <c r="M269" s="169"/>
      <c r="N269" s="166"/>
      <c r="O269" s="169"/>
      <c r="P269" s="169"/>
    </row>
    <row r="270" spans="9:16">
      <c r="J270" s="153"/>
      <c r="M270" s="168"/>
      <c r="N270" s="166"/>
      <c r="O270" s="169"/>
      <c r="P270" s="169"/>
    </row>
    <row r="271" spans="9:16">
      <c r="I271" s="153"/>
      <c r="J271" s="153"/>
      <c r="M271" s="168"/>
      <c r="N271" s="166"/>
      <c r="O271" s="169"/>
      <c r="P271" s="169"/>
    </row>
    <row r="272" spans="9:16">
      <c r="I272" s="153"/>
      <c r="M272" s="168"/>
      <c r="N272" s="166"/>
      <c r="O272" s="169"/>
      <c r="P272" s="169"/>
    </row>
    <row r="273" spans="9:16">
      <c r="M273" s="168"/>
      <c r="N273" s="166"/>
      <c r="O273" s="169"/>
      <c r="P273" s="169"/>
    </row>
    <row r="274" spans="9:16">
      <c r="M274" s="168"/>
      <c r="N274" s="166"/>
      <c r="O274" s="169"/>
      <c r="P274" s="169"/>
    </row>
    <row r="275" spans="9:16">
      <c r="M275" s="169"/>
      <c r="N275" s="166"/>
      <c r="O275" s="169"/>
      <c r="P275" s="169"/>
    </row>
    <row r="276" spans="9:16">
      <c r="M276" s="169"/>
      <c r="N276" s="166"/>
      <c r="O276" s="169"/>
      <c r="P276" s="169"/>
    </row>
    <row r="277" spans="9:16">
      <c r="M277" s="169"/>
      <c r="N277" s="166"/>
      <c r="O277" s="169"/>
      <c r="P277" s="169"/>
    </row>
    <row r="278" spans="9:16">
      <c r="I278" s="153"/>
      <c r="J278" s="153"/>
      <c r="M278" s="168"/>
      <c r="N278" s="166"/>
      <c r="O278" s="169"/>
      <c r="P278" s="169"/>
    </row>
    <row r="279" spans="9:16">
      <c r="M279" s="169"/>
      <c r="N279" s="166"/>
      <c r="O279" s="169"/>
      <c r="P279" s="169"/>
    </row>
    <row r="280" spans="9:16">
      <c r="I280" s="153"/>
      <c r="J280" s="153"/>
      <c r="M280" s="168"/>
      <c r="N280" s="166"/>
      <c r="O280" s="169"/>
      <c r="P280" s="169"/>
    </row>
    <row r="281" spans="9:16">
      <c r="M281" s="169"/>
      <c r="N281" s="166"/>
      <c r="O281" s="169"/>
      <c r="P281" s="169"/>
    </row>
    <row r="282" spans="9:16">
      <c r="J282" s="153"/>
      <c r="M282" s="168"/>
      <c r="N282" s="166"/>
      <c r="O282" s="169"/>
      <c r="P282" s="169"/>
    </row>
    <row r="283" spans="9:16">
      <c r="I283" s="153"/>
      <c r="J283" s="153"/>
      <c r="M283" s="168"/>
      <c r="N283" s="166"/>
      <c r="O283" s="169"/>
      <c r="P283" s="169"/>
    </row>
    <row r="284" spans="9:16">
      <c r="M284" s="169"/>
      <c r="N284" s="166"/>
      <c r="O284" s="169"/>
      <c r="P284" s="169"/>
    </row>
    <row r="285" spans="9:16">
      <c r="M285" s="169"/>
      <c r="N285" s="166"/>
      <c r="O285" s="169"/>
      <c r="P285" s="169"/>
    </row>
    <row r="286" spans="9:16">
      <c r="I286" s="153"/>
      <c r="J286" s="153"/>
      <c r="M286" s="168"/>
      <c r="N286" s="166"/>
      <c r="O286" s="169"/>
      <c r="P286" s="169"/>
    </row>
    <row r="287" spans="9:16">
      <c r="I287" s="153"/>
      <c r="J287" s="153"/>
      <c r="M287" s="168"/>
      <c r="N287" s="166"/>
      <c r="O287" s="169"/>
      <c r="P287" s="169"/>
    </row>
    <row r="288" spans="9:16">
      <c r="I288" s="153"/>
      <c r="J288" s="153"/>
      <c r="M288" s="168"/>
      <c r="N288" s="166"/>
      <c r="O288" s="169"/>
      <c r="P288" s="169"/>
    </row>
    <row r="289" spans="9:16">
      <c r="I289" s="153"/>
      <c r="J289" s="153"/>
      <c r="M289" s="168"/>
      <c r="N289" s="166"/>
      <c r="O289" s="169"/>
      <c r="P289" s="169"/>
    </row>
    <row r="290" spans="9:16">
      <c r="I290" s="153"/>
      <c r="J290" s="153"/>
      <c r="M290" s="168"/>
      <c r="N290" s="166"/>
      <c r="O290" s="169"/>
      <c r="P290" s="169"/>
    </row>
    <row r="291" spans="9:16">
      <c r="I291" s="153"/>
      <c r="J291" s="153"/>
      <c r="M291" s="168"/>
      <c r="N291" s="166"/>
      <c r="O291" s="169"/>
      <c r="P291" s="169"/>
    </row>
    <row r="292" spans="9:16">
      <c r="I292" s="153"/>
      <c r="J292" s="153"/>
      <c r="M292" s="168"/>
      <c r="N292" s="166"/>
      <c r="O292" s="169"/>
      <c r="P292" s="169"/>
    </row>
    <row r="293" spans="9:16" ht="13.5" customHeight="1">
      <c r="I293" s="153"/>
      <c r="M293" s="169"/>
      <c r="N293" s="166"/>
      <c r="O293" s="169"/>
      <c r="P293" s="169"/>
    </row>
    <row r="294" spans="9:16">
      <c r="I294" s="153"/>
      <c r="J294" s="153"/>
      <c r="M294" s="169"/>
      <c r="N294" s="166"/>
      <c r="O294" s="169"/>
      <c r="P294" s="169"/>
    </row>
    <row r="295" spans="9:16">
      <c r="I295" s="153"/>
      <c r="M295" s="169"/>
      <c r="N295" s="166"/>
      <c r="O295" s="169"/>
      <c r="P295" s="169"/>
    </row>
    <row r="296" spans="9:16">
      <c r="M296" s="168"/>
      <c r="N296" s="166"/>
      <c r="O296" s="169"/>
      <c r="P296" s="169"/>
    </row>
    <row r="297" spans="9:16">
      <c r="J297" s="153"/>
    </row>
    <row r="298" spans="9:16">
      <c r="I298" s="153"/>
    </row>
    <row r="299" spans="9:16">
      <c r="I299" s="153"/>
      <c r="O299" s="153"/>
    </row>
    <row r="300" spans="9:16">
      <c r="I300" s="153"/>
    </row>
    <row r="301" spans="9:16">
      <c r="J301" s="153"/>
      <c r="M301" s="153"/>
    </row>
  </sheetData>
  <pageMargins left="0.7" right="0.7" top="0.75" bottom="0.75"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28"/>
  <sheetViews>
    <sheetView workbookViewId="0">
      <selection activeCell="L190" sqref="L190"/>
    </sheetView>
  </sheetViews>
  <sheetFormatPr defaultColWidth="8.85546875" defaultRowHeight="12.75"/>
  <cols>
    <col min="1" max="1" width="11.7109375" bestFit="1" customWidth="1"/>
    <col min="2" max="2" width="14.42578125" customWidth="1"/>
    <col min="3" max="3" width="12.7109375" customWidth="1"/>
    <col min="4" max="4" width="17.7109375" customWidth="1"/>
    <col min="5" max="5" width="10.85546875" customWidth="1"/>
    <col min="6" max="6" width="10" customWidth="1"/>
    <col min="7" max="7" width="12.7109375" customWidth="1"/>
    <col min="8" max="8" width="10.85546875" customWidth="1"/>
    <col min="9" max="9" width="15" customWidth="1"/>
    <col min="10" max="10" width="16.42578125" customWidth="1"/>
    <col min="11" max="11" width="11" customWidth="1"/>
  </cols>
  <sheetData>
    <row r="1" spans="1:12" ht="51">
      <c r="A1" s="46" t="s">
        <v>748</v>
      </c>
      <c r="B1" t="s">
        <v>0</v>
      </c>
      <c r="C1" s="5" t="s">
        <v>293</v>
      </c>
      <c r="D1" t="s">
        <v>1</v>
      </c>
      <c r="E1" s="46" t="s">
        <v>1853</v>
      </c>
      <c r="F1" s="46" t="s">
        <v>1854</v>
      </c>
      <c r="G1" s="7" t="s">
        <v>555</v>
      </c>
      <c r="H1" s="6" t="s">
        <v>501</v>
      </c>
      <c r="I1" s="6" t="s">
        <v>502</v>
      </c>
      <c r="J1" s="6" t="s">
        <v>528</v>
      </c>
      <c r="K1" s="6" t="s">
        <v>503</v>
      </c>
      <c r="L1" s="6" t="s">
        <v>504</v>
      </c>
    </row>
    <row r="4" spans="1:12">
      <c r="A4" t="s">
        <v>1396</v>
      </c>
      <c r="B4" t="s">
        <v>517</v>
      </c>
      <c r="C4" t="s">
        <v>659</v>
      </c>
      <c r="D4" t="s">
        <v>660</v>
      </c>
      <c r="E4" s="1">
        <f>100/1600*2000000000</f>
        <v>125000000</v>
      </c>
      <c r="F4">
        <v>3</v>
      </c>
      <c r="G4">
        <f>0.1/100000000000</f>
        <v>9.9999999999999998E-13</v>
      </c>
      <c r="H4">
        <v>10</v>
      </c>
      <c r="I4" s="70">
        <f>E4*G4</f>
        <v>1.25E-4</v>
      </c>
      <c r="K4" s="70">
        <f>I4*working_capacity</f>
        <v>7.3500000000000005</v>
      </c>
      <c r="L4" s="70">
        <f>K4</f>
        <v>7.3500000000000005</v>
      </c>
    </row>
    <row r="6" spans="1:12">
      <c r="A6" t="s">
        <v>1397</v>
      </c>
      <c r="B6" t="s">
        <v>4</v>
      </c>
      <c r="D6" t="s">
        <v>251</v>
      </c>
      <c r="E6" s="1">
        <v>1140000</v>
      </c>
      <c r="F6">
        <v>2</v>
      </c>
      <c r="G6">
        <f>0.4/(65000000000)</f>
        <v>6.1538461538461538E-12</v>
      </c>
      <c r="H6">
        <v>3</v>
      </c>
      <c r="I6" s="70">
        <f>E6*G6</f>
        <v>7.0153846153846152E-6</v>
      </c>
      <c r="K6" s="70">
        <f>I6*YOLLvalue</f>
        <v>0.35076923076923078</v>
      </c>
    </row>
    <row r="7" spans="1:12">
      <c r="A7" t="s">
        <v>1397</v>
      </c>
      <c r="B7" t="s">
        <v>4</v>
      </c>
      <c r="D7" t="s">
        <v>252</v>
      </c>
      <c r="E7" s="1">
        <f>40/10*0.61/75*7200000000</f>
        <v>234239999.99999997</v>
      </c>
      <c r="F7">
        <v>2</v>
      </c>
      <c r="G7">
        <f>0.4/(65000000000)</f>
        <v>6.1538461538461538E-12</v>
      </c>
      <c r="H7">
        <v>3</v>
      </c>
      <c r="I7" s="70">
        <f t="shared" ref="I7:I24" si="0">E7*G7</f>
        <v>1.441476923076923E-3</v>
      </c>
      <c r="K7" s="70">
        <f>I7*YOLLvalue</f>
        <v>72.073846153846148</v>
      </c>
    </row>
    <row r="8" spans="1:12">
      <c r="A8" t="s">
        <v>1397</v>
      </c>
      <c r="B8" t="s">
        <v>4</v>
      </c>
      <c r="D8" s="5" t="s">
        <v>530</v>
      </c>
      <c r="E8" s="43">
        <f>charco2yoll</f>
        <v>6.4889229343629337E-7</v>
      </c>
      <c r="F8">
        <v>3</v>
      </c>
      <c r="G8">
        <v>-102</v>
      </c>
      <c r="H8">
        <v>2</v>
      </c>
      <c r="I8" s="70">
        <f t="shared" si="0"/>
        <v>-6.6187013930501929E-5</v>
      </c>
      <c r="K8" s="70">
        <f>YOLLvalue*I8</f>
        <v>-3.3093506965250965</v>
      </c>
    </row>
    <row r="9" spans="1:12">
      <c r="A9" t="s">
        <v>1397</v>
      </c>
      <c r="B9" t="s">
        <v>4</v>
      </c>
      <c r="D9" t="s">
        <v>159</v>
      </c>
      <c r="E9" s="1">
        <f>SUM(E6:E8)</f>
        <v>235380000.00000063</v>
      </c>
      <c r="I9" s="1"/>
      <c r="J9" s="70">
        <f>SUM(I6:I8)</f>
        <v>1.3823052937618056E-3</v>
      </c>
      <c r="K9" s="1"/>
    </row>
    <row r="10" spans="1:12">
      <c r="A10" t="s">
        <v>1397</v>
      </c>
      <c r="B10" s="5" t="s">
        <v>558</v>
      </c>
      <c r="D10" t="s">
        <v>251</v>
      </c>
      <c r="E10" s="1">
        <v>1140000</v>
      </c>
      <c r="F10">
        <v>3</v>
      </c>
      <c r="G10">
        <f>0.4/(65000000000)</f>
        <v>6.1538461538461538E-12</v>
      </c>
      <c r="H10">
        <v>3</v>
      </c>
      <c r="I10" s="70">
        <f t="shared" si="0"/>
        <v>7.0153846153846152E-6</v>
      </c>
      <c r="J10" s="1"/>
      <c r="K10" s="70">
        <f>I10*asthmacasesvalue</f>
        <v>1.5083076923076923E-2</v>
      </c>
    </row>
    <row r="11" spans="1:12">
      <c r="A11" t="s">
        <v>1397</v>
      </c>
      <c r="B11" s="5" t="s">
        <v>658</v>
      </c>
      <c r="D11" t="s">
        <v>252</v>
      </c>
      <c r="E11">
        <v>290000</v>
      </c>
      <c r="F11">
        <v>3</v>
      </c>
      <c r="G11">
        <f>0.4/(65000000000)</f>
        <v>6.1538461538461538E-12</v>
      </c>
      <c r="H11">
        <v>3</v>
      </c>
      <c r="I11" s="70">
        <f t="shared" si="0"/>
        <v>1.7846153846153846E-6</v>
      </c>
      <c r="J11" s="1"/>
      <c r="K11" s="70">
        <f>I11*COPDvalue</f>
        <v>3.4175384615384614E-2</v>
      </c>
    </row>
    <row r="12" spans="1:12">
      <c r="A12" t="s">
        <v>1397</v>
      </c>
      <c r="B12" s="5" t="s">
        <v>519</v>
      </c>
      <c r="C12" s="5" t="s">
        <v>5</v>
      </c>
      <c r="D12" s="5" t="s">
        <v>530</v>
      </c>
      <c r="E12" s="70">
        <f>CO2_malnutrition_charfact</f>
        <v>2.3919691119691116E-6</v>
      </c>
      <c r="F12">
        <v>3</v>
      </c>
      <c r="G12">
        <v>-102</v>
      </c>
      <c r="H12">
        <v>2</v>
      </c>
      <c r="I12" s="70">
        <f t="shared" si="0"/>
        <v>-2.4398084942084939E-4</v>
      </c>
      <c r="J12" s="1"/>
      <c r="K12" s="70">
        <f>I12*malnutrition</f>
        <v>-2.3300171119691115</v>
      </c>
    </row>
    <row r="13" spans="1:12">
      <c r="A13" t="s">
        <v>1397</v>
      </c>
      <c r="B13" s="5" t="s">
        <v>661</v>
      </c>
      <c r="C13" s="5" t="s">
        <v>5</v>
      </c>
      <c r="D13" s="5" t="s">
        <v>530</v>
      </c>
      <c r="E13" s="70">
        <f>CO2_malnutrition_charfact</f>
        <v>2.3919691119691116E-6</v>
      </c>
      <c r="F13">
        <v>3</v>
      </c>
      <c r="G13">
        <v>-102</v>
      </c>
      <c r="H13">
        <v>2</v>
      </c>
      <c r="I13" s="70">
        <f t="shared" si="0"/>
        <v>-2.4398084942084939E-4</v>
      </c>
      <c r="J13" s="1"/>
      <c r="K13" s="70">
        <f>I13*working_capacity</f>
        <v>-14.346073945945944</v>
      </c>
    </row>
    <row r="14" spans="1:12">
      <c r="A14" t="s">
        <v>1397</v>
      </c>
      <c r="B14" s="5" t="s">
        <v>521</v>
      </c>
      <c r="C14" s="5" t="s">
        <v>5</v>
      </c>
      <c r="D14" s="5" t="s">
        <v>530</v>
      </c>
      <c r="E14" s="70">
        <f>CO2_diarrhea_charfact</f>
        <v>1.5946460746460745E-8</v>
      </c>
      <c r="F14">
        <v>3</v>
      </c>
      <c r="G14">
        <v>-102</v>
      </c>
      <c r="H14">
        <v>2</v>
      </c>
      <c r="I14" s="70">
        <f t="shared" si="0"/>
        <v>-1.626538996138996E-6</v>
      </c>
      <c r="J14" s="1"/>
      <c r="K14" s="70">
        <f>I14*diarrhea</f>
        <v>-8.5393297297297298E-3</v>
      </c>
    </row>
    <row r="15" spans="1:12">
      <c r="A15" t="s">
        <v>1397</v>
      </c>
      <c r="B15" s="5" t="s">
        <v>160</v>
      </c>
      <c r="C15" s="5" t="s">
        <v>7</v>
      </c>
      <c r="D15" s="5" t="s">
        <v>530</v>
      </c>
      <c r="E15" s="70">
        <f>CO2_crop_charfact</f>
        <v>1.0903898856840032E-2</v>
      </c>
      <c r="F15">
        <v>3</v>
      </c>
      <c r="G15">
        <v>-102</v>
      </c>
      <c r="H15">
        <v>2</v>
      </c>
      <c r="I15" s="70">
        <f t="shared" si="0"/>
        <v>-1.1121976833976832</v>
      </c>
      <c r="J15" s="1"/>
      <c r="K15" s="70">
        <f>I15*cropvalue</f>
        <v>-0.24468349034749032</v>
      </c>
    </row>
    <row r="16" spans="1:12">
      <c r="A16" t="s">
        <v>1397</v>
      </c>
      <c r="B16" s="5" t="s">
        <v>529</v>
      </c>
      <c r="C16" s="5" t="s">
        <v>7</v>
      </c>
      <c r="D16" s="5" t="s">
        <v>530</v>
      </c>
      <c r="E16" s="70">
        <f>CO2_fruitandveg_charfact</f>
        <v>1.3059096070860774E-3</v>
      </c>
      <c r="F16">
        <v>3</v>
      </c>
      <c r="G16">
        <v>-102</v>
      </c>
      <c r="H16">
        <v>2</v>
      </c>
      <c r="I16" s="70">
        <f t="shared" si="0"/>
        <v>-0.1332027799227799</v>
      </c>
      <c r="J16" s="1"/>
      <c r="K16" s="70">
        <f>I16*Fruitandveg_value</f>
        <v>-5.1949084169884162E-2</v>
      </c>
      <c r="L16" s="1"/>
    </row>
    <row r="17" spans="1:14">
      <c r="A17" t="s">
        <v>1397</v>
      </c>
      <c r="B17" s="5" t="s">
        <v>538</v>
      </c>
      <c r="C17" s="5" t="s">
        <v>7</v>
      </c>
      <c r="D17" s="5" t="s">
        <v>530</v>
      </c>
      <c r="E17" s="70">
        <f>CO2_meatandfish_charfact</f>
        <v>5.1444923915512154E-4</v>
      </c>
      <c r="F17">
        <v>3</v>
      </c>
      <c r="G17">
        <v>-102</v>
      </c>
      <c r="H17">
        <v>2</v>
      </c>
      <c r="I17" s="70">
        <f t="shared" si="0"/>
        <v>-5.2473822393822395E-2</v>
      </c>
      <c r="J17" s="1"/>
      <c r="K17" s="70">
        <f>I17*fishandmeatvalue</f>
        <v>-0.11019502702702703</v>
      </c>
    </row>
    <row r="18" spans="1:14">
      <c r="A18" t="s">
        <v>1397</v>
      </c>
      <c r="B18" t="s">
        <v>161</v>
      </c>
      <c r="C18" s="5" t="s">
        <v>7</v>
      </c>
      <c r="D18" s="5" t="s">
        <v>530</v>
      </c>
      <c r="E18" s="70">
        <f>charco2woodgw</f>
        <v>0</v>
      </c>
      <c r="F18">
        <v>3</v>
      </c>
      <c r="G18">
        <v>-102</v>
      </c>
      <c r="H18">
        <v>2</v>
      </c>
      <c r="I18" s="70">
        <f t="shared" si="0"/>
        <v>0</v>
      </c>
      <c r="J18" s="1"/>
      <c r="K18" s="70">
        <f>I18*woodvalue</f>
        <v>0</v>
      </c>
    </row>
    <row r="19" spans="1:14">
      <c r="A19" t="s">
        <v>1397</v>
      </c>
      <c r="B19" t="s">
        <v>508</v>
      </c>
      <c r="C19" s="5" t="s">
        <v>7</v>
      </c>
      <c r="D19" s="5" t="s">
        <v>530</v>
      </c>
      <c r="E19" s="70">
        <f>CO2_drinkingwater_charfact</f>
        <v>6.2789189189189187E-2</v>
      </c>
      <c r="F19">
        <v>3</v>
      </c>
      <c r="G19">
        <v>-102</v>
      </c>
      <c r="H19">
        <v>2</v>
      </c>
      <c r="I19" s="70">
        <f t="shared" si="0"/>
        <v>-6.4044972972972971</v>
      </c>
      <c r="J19" s="1"/>
      <c r="K19" s="70">
        <f>I19*drinkingwatervalue</f>
        <v>-1.2808994594594595E-2</v>
      </c>
    </row>
    <row r="20" spans="1:14">
      <c r="A20" t="s">
        <v>1397</v>
      </c>
      <c r="B20" t="s">
        <v>510</v>
      </c>
      <c r="C20" s="5" t="s">
        <v>7</v>
      </c>
      <c r="D20" s="5" t="s">
        <v>530</v>
      </c>
      <c r="E20" s="70">
        <f>CO2_irrigationwater_charfact</f>
        <v>0.12557837837837837</v>
      </c>
      <c r="F20">
        <v>3</v>
      </c>
      <c r="G20">
        <v>-102</v>
      </c>
      <c r="H20">
        <v>2</v>
      </c>
      <c r="I20" s="70">
        <f t="shared" si="0"/>
        <v>-12.808994594594594</v>
      </c>
      <c r="J20" s="1"/>
      <c r="K20" s="70">
        <f>I20*irrigationwatervalue</f>
        <v>-1.2808994594594595E-2</v>
      </c>
    </row>
    <row r="21" spans="1:14">
      <c r="A21" t="s">
        <v>1397</v>
      </c>
      <c r="B21" t="s">
        <v>511</v>
      </c>
      <c r="C21" s="5" t="s">
        <v>487</v>
      </c>
      <c r="D21" s="5" t="s">
        <v>530</v>
      </c>
      <c r="E21" s="70">
        <f>CO2_energyaccess_charfact</f>
        <v>3.1711711711711707E-7</v>
      </c>
      <c r="F21">
        <v>3</v>
      </c>
      <c r="G21">
        <v>-102</v>
      </c>
      <c r="H21">
        <v>2</v>
      </c>
      <c r="I21" s="70">
        <f t="shared" si="0"/>
        <v>-3.2345945945945939E-5</v>
      </c>
      <c r="J21" s="1"/>
      <c r="K21" s="70">
        <f>I21*energy_access</f>
        <v>-9.0568648648648636E-2</v>
      </c>
    </row>
    <row r="22" spans="1:14">
      <c r="A22" t="s">
        <v>1397</v>
      </c>
      <c r="B22" s="5" t="s">
        <v>513</v>
      </c>
      <c r="C22" s="5" t="s">
        <v>5</v>
      </c>
      <c r="D22" s="5" t="s">
        <v>530</v>
      </c>
      <c r="E22" s="70">
        <f>CO2_housing_charfact</f>
        <v>1.9933075933075932E-8</v>
      </c>
      <c r="F22">
        <v>3</v>
      </c>
      <c r="G22">
        <v>-102</v>
      </c>
      <c r="H22">
        <v>2</v>
      </c>
      <c r="I22" s="70">
        <f t="shared" si="0"/>
        <v>-2.0331737451737449E-6</v>
      </c>
      <c r="J22" s="1"/>
      <c r="K22" s="70">
        <f>I22*housingvalue</f>
        <v>-4.0663474903474897E-3</v>
      </c>
    </row>
    <row r="23" spans="1:14">
      <c r="A23" t="s">
        <v>1397</v>
      </c>
      <c r="B23" s="5" t="s">
        <v>516</v>
      </c>
      <c r="C23" s="5" t="s">
        <v>523</v>
      </c>
      <c r="D23" s="5" t="s">
        <v>530</v>
      </c>
      <c r="E23" s="70">
        <f>CO2_separations_charfact</f>
        <v>2.2651222651222648E-7</v>
      </c>
      <c r="F23">
        <v>3</v>
      </c>
      <c r="G23">
        <v>-102</v>
      </c>
      <c r="H23">
        <v>2</v>
      </c>
      <c r="I23" s="70">
        <f t="shared" si="0"/>
        <v>-2.3104247104247103E-5</v>
      </c>
      <c r="J23" s="1"/>
      <c r="K23" s="70">
        <f>I23*migrationvalue</f>
        <v>-0.57760617760617761</v>
      </c>
    </row>
    <row r="24" spans="1:14">
      <c r="A24" t="s">
        <v>1397</v>
      </c>
      <c r="B24" t="s">
        <v>174</v>
      </c>
      <c r="C24" s="5" t="s">
        <v>505</v>
      </c>
      <c r="D24" s="5" t="s">
        <v>530</v>
      </c>
      <c r="E24" s="70">
        <f>charco2nex</f>
        <v>2.2651222651222649E-16</v>
      </c>
      <c r="F24">
        <v>3</v>
      </c>
      <c r="G24">
        <v>-102</v>
      </c>
      <c r="H24">
        <v>2</v>
      </c>
      <c r="I24" s="70">
        <f t="shared" si="0"/>
        <v>-2.3104247104247101E-14</v>
      </c>
      <c r="J24" s="1"/>
      <c r="K24" s="70">
        <f>I24*speciesvalue</f>
        <v>-1.2938378378378377E-3</v>
      </c>
    </row>
    <row r="25" spans="1:14">
      <c r="A25" t="s">
        <v>1397</v>
      </c>
      <c r="B25" s="5" t="s">
        <v>159</v>
      </c>
      <c r="K25" s="70">
        <f>L25</f>
        <v>51.373912159667356</v>
      </c>
      <c r="L25" s="70">
        <f>SUM(K6:K24)</f>
        <v>51.373912159667356</v>
      </c>
    </row>
    <row r="28" spans="1:14">
      <c r="A28" t="s">
        <v>1398</v>
      </c>
      <c r="B28" t="s">
        <v>4</v>
      </c>
      <c r="D28" t="s">
        <v>251</v>
      </c>
      <c r="E28" s="1">
        <v>1140000</v>
      </c>
      <c r="F28">
        <v>2</v>
      </c>
      <c r="G28">
        <f>0.52/(40000000000)</f>
        <v>1.3E-11</v>
      </c>
      <c r="H28">
        <v>3</v>
      </c>
      <c r="I28" s="70">
        <f>E28*G28</f>
        <v>1.482E-5</v>
      </c>
      <c r="K28" s="70">
        <f>I28*YOLLvalue</f>
        <v>0.74099999999999999</v>
      </c>
    </row>
    <row r="29" spans="1:14">
      <c r="A29" t="s">
        <v>1398</v>
      </c>
      <c r="B29" t="s">
        <v>4</v>
      </c>
      <c r="D29" t="s">
        <v>252</v>
      </c>
      <c r="E29" s="1">
        <f>40/10*0.61/75*7200000000</f>
        <v>234239999.99999997</v>
      </c>
      <c r="F29">
        <v>2</v>
      </c>
      <c r="G29">
        <f>0.52/(40000000000)</f>
        <v>1.3E-11</v>
      </c>
      <c r="H29">
        <v>3</v>
      </c>
      <c r="I29" s="70">
        <f>E29*G29</f>
        <v>3.0451199999999997E-3</v>
      </c>
      <c r="K29" s="70">
        <f>I29*YOLLvalue</f>
        <v>152.25599999999997</v>
      </c>
    </row>
    <row r="30" spans="1:14">
      <c r="A30" t="s">
        <v>1398</v>
      </c>
      <c r="B30" t="s">
        <v>4</v>
      </c>
      <c r="D30" s="5" t="s">
        <v>530</v>
      </c>
      <c r="E30" s="43">
        <f>charco2yoll</f>
        <v>6.4889229343629337E-7</v>
      </c>
      <c r="F30">
        <v>3</v>
      </c>
      <c r="G30">
        <v>-153</v>
      </c>
      <c r="H30">
        <v>2</v>
      </c>
      <c r="I30" s="70">
        <f>E30*G30</f>
        <v>-9.928052089575288E-5</v>
      </c>
      <c r="K30" s="70">
        <f>YOLLvalue*I30</f>
        <v>-4.9640260447876443</v>
      </c>
      <c r="N30" s="8"/>
    </row>
    <row r="31" spans="1:14">
      <c r="A31" t="s">
        <v>1398</v>
      </c>
      <c r="B31" t="s">
        <v>4</v>
      </c>
      <c r="D31" t="s">
        <v>159</v>
      </c>
      <c r="E31" s="1">
        <f>SUM(E28:E30)</f>
        <v>235380000.00000063</v>
      </c>
      <c r="I31" s="1"/>
      <c r="J31" s="70">
        <f>SUM(I28:I30)</f>
        <v>2.9606594791042468E-3</v>
      </c>
      <c r="K31" s="1"/>
    </row>
    <row r="32" spans="1:14">
      <c r="A32" t="s">
        <v>1398</v>
      </c>
      <c r="B32" s="5" t="s">
        <v>558</v>
      </c>
      <c r="D32" t="s">
        <v>164</v>
      </c>
      <c r="E32" s="1">
        <f>0.0000129*40*7200000000</f>
        <v>3715199.9999999995</v>
      </c>
      <c r="F32">
        <v>3</v>
      </c>
      <c r="G32">
        <f>0.52/(40000000000)</f>
        <v>1.3E-11</v>
      </c>
      <c r="H32">
        <v>3</v>
      </c>
      <c r="I32" s="70">
        <f t="shared" ref="I32:I46" si="1">E32*G32</f>
        <v>4.8297599999999996E-5</v>
      </c>
      <c r="K32" s="70">
        <f>I32*asthmacasesvalue</f>
        <v>0.10383983999999999</v>
      </c>
    </row>
    <row r="33" spans="1:12">
      <c r="A33" t="s">
        <v>1398</v>
      </c>
      <c r="B33" s="5" t="s">
        <v>658</v>
      </c>
      <c r="D33" t="s">
        <v>164</v>
      </c>
      <c r="E33" s="1">
        <v>290000</v>
      </c>
      <c r="F33">
        <v>3</v>
      </c>
      <c r="G33">
        <f>0.52/(40000000000)</f>
        <v>1.3E-11</v>
      </c>
      <c r="H33">
        <v>3</v>
      </c>
      <c r="I33" s="70">
        <f t="shared" si="1"/>
        <v>3.7699999999999999E-6</v>
      </c>
      <c r="K33" s="70">
        <f>I33*COPDvalue</f>
        <v>7.2195499999999996E-2</v>
      </c>
    </row>
    <row r="34" spans="1:12">
      <c r="A34" t="s">
        <v>1398</v>
      </c>
      <c r="B34" s="5" t="s">
        <v>519</v>
      </c>
      <c r="C34" s="5" t="s">
        <v>5</v>
      </c>
      <c r="D34" s="5" t="s">
        <v>530</v>
      </c>
      <c r="E34" s="43">
        <f>CO2_malnutrition_charfact</f>
        <v>2.3919691119691116E-6</v>
      </c>
      <c r="F34">
        <v>3</v>
      </c>
      <c r="G34">
        <v>-153</v>
      </c>
      <c r="H34">
        <v>2</v>
      </c>
      <c r="I34" s="70">
        <f t="shared" si="1"/>
        <v>-3.6597127413127409E-4</v>
      </c>
      <c r="K34" s="70">
        <f>I34*malnutrition</f>
        <v>-3.4950256679536675</v>
      </c>
    </row>
    <row r="35" spans="1:12">
      <c r="A35" t="s">
        <v>1398</v>
      </c>
      <c r="B35" s="5" t="s">
        <v>661</v>
      </c>
      <c r="C35" s="5" t="s">
        <v>5</v>
      </c>
      <c r="D35" s="5" t="s">
        <v>530</v>
      </c>
      <c r="E35" s="43">
        <f>CO2_malnutrition_charfact</f>
        <v>2.3919691119691116E-6</v>
      </c>
      <c r="F35">
        <v>3</v>
      </c>
      <c r="G35">
        <v>-153</v>
      </c>
      <c r="H35">
        <v>2</v>
      </c>
      <c r="I35" s="70">
        <f t="shared" si="1"/>
        <v>-3.6597127413127409E-4</v>
      </c>
      <c r="J35" s="1"/>
      <c r="K35" s="70">
        <f>I35*working_capacity</f>
        <v>-21.519110918918916</v>
      </c>
    </row>
    <row r="36" spans="1:12">
      <c r="A36" t="s">
        <v>1398</v>
      </c>
      <c r="B36" s="5" t="s">
        <v>521</v>
      </c>
      <c r="C36" s="5" t="s">
        <v>5</v>
      </c>
      <c r="D36" s="5" t="s">
        <v>530</v>
      </c>
      <c r="E36" s="43">
        <f>CO2_diarrhea_charfact</f>
        <v>1.5946460746460745E-8</v>
      </c>
      <c r="F36">
        <v>3</v>
      </c>
      <c r="G36">
        <v>-153</v>
      </c>
      <c r="H36">
        <v>2</v>
      </c>
      <c r="I36" s="70">
        <f t="shared" si="1"/>
        <v>-2.4398084942084942E-6</v>
      </c>
      <c r="J36" s="1"/>
      <c r="K36" s="70">
        <f>I36*diarrhea</f>
        <v>-1.2808994594594595E-2</v>
      </c>
    </row>
    <row r="37" spans="1:12">
      <c r="A37" t="s">
        <v>1398</v>
      </c>
      <c r="B37" s="5" t="s">
        <v>160</v>
      </c>
      <c r="C37" s="5" t="s">
        <v>7</v>
      </c>
      <c r="D37" s="5" t="s">
        <v>530</v>
      </c>
      <c r="E37" s="43">
        <f>CO2_crop_charfact</f>
        <v>1.0903898856840032E-2</v>
      </c>
      <c r="F37">
        <v>3</v>
      </c>
      <c r="G37">
        <v>-153</v>
      </c>
      <c r="H37">
        <v>2</v>
      </c>
      <c r="I37" s="70">
        <f t="shared" si="1"/>
        <v>-1.6682965250965249</v>
      </c>
      <c r="K37" s="70">
        <f>I37*cropvalue</f>
        <v>-0.3670252355212355</v>
      </c>
    </row>
    <row r="38" spans="1:12">
      <c r="A38" t="s">
        <v>1398</v>
      </c>
      <c r="B38" s="5" t="s">
        <v>529</v>
      </c>
      <c r="C38" s="5" t="s">
        <v>7</v>
      </c>
      <c r="D38" s="5" t="s">
        <v>530</v>
      </c>
      <c r="E38" s="43">
        <f>CO2_fruitandveg_charfact</f>
        <v>1.3059096070860774E-3</v>
      </c>
      <c r="F38">
        <v>3</v>
      </c>
      <c r="G38">
        <v>-153</v>
      </c>
      <c r="H38">
        <v>2</v>
      </c>
      <c r="I38" s="70">
        <f t="shared" si="1"/>
        <v>-0.19980416988416985</v>
      </c>
      <c r="J38" s="1"/>
      <c r="K38" s="70">
        <f>I38*Fruitandveg_value</f>
        <v>-7.7923626254826239E-2</v>
      </c>
    </row>
    <row r="39" spans="1:12">
      <c r="A39" t="s">
        <v>1398</v>
      </c>
      <c r="B39" s="5" t="s">
        <v>538</v>
      </c>
      <c r="C39" s="5" t="s">
        <v>7</v>
      </c>
      <c r="D39" s="5" t="s">
        <v>530</v>
      </c>
      <c r="E39" s="43">
        <f>CO2_meatandfish_charfact</f>
        <v>5.1444923915512154E-4</v>
      </c>
      <c r="F39">
        <v>3</v>
      </c>
      <c r="G39">
        <v>-153</v>
      </c>
      <c r="H39">
        <v>2</v>
      </c>
      <c r="I39" s="70">
        <f t="shared" si="1"/>
        <v>-7.8710733590733592E-2</v>
      </c>
      <c r="J39" s="1"/>
      <c r="K39" s="70">
        <f>I39*fishandmeatvalue</f>
        <v>-0.16529254054054054</v>
      </c>
    </row>
    <row r="40" spans="1:12">
      <c r="A40" t="s">
        <v>1398</v>
      </c>
      <c r="B40" t="s">
        <v>161</v>
      </c>
      <c r="C40" s="5" t="s">
        <v>7</v>
      </c>
      <c r="D40" s="5" t="s">
        <v>530</v>
      </c>
      <c r="E40" s="43">
        <f>charco2woodgw</f>
        <v>0</v>
      </c>
      <c r="F40">
        <v>3</v>
      </c>
      <c r="G40">
        <v>-153</v>
      </c>
      <c r="H40">
        <v>2</v>
      </c>
      <c r="I40" s="70">
        <f t="shared" si="1"/>
        <v>0</v>
      </c>
      <c r="J40" s="1"/>
      <c r="K40" s="70">
        <f>I40*woodvalue</f>
        <v>0</v>
      </c>
    </row>
    <row r="41" spans="1:12">
      <c r="A41" t="s">
        <v>1398</v>
      </c>
      <c r="B41" t="s">
        <v>508</v>
      </c>
      <c r="C41" s="5" t="s">
        <v>7</v>
      </c>
      <c r="D41" s="5" t="s">
        <v>530</v>
      </c>
      <c r="E41" s="70">
        <f>CO2_drinkingwater_charfact</f>
        <v>6.2789189189189187E-2</v>
      </c>
      <c r="F41">
        <v>3</v>
      </c>
      <c r="G41">
        <v>-153</v>
      </c>
      <c r="H41">
        <v>2</v>
      </c>
      <c r="I41" s="70">
        <f t="shared" si="1"/>
        <v>-9.6067459459459457</v>
      </c>
      <c r="J41" s="1"/>
      <c r="K41" s="70">
        <f>I41*drinkingwatervalue</f>
        <v>-1.9213491891891893E-2</v>
      </c>
    </row>
    <row r="42" spans="1:12">
      <c r="A42" t="s">
        <v>1398</v>
      </c>
      <c r="B42" t="s">
        <v>510</v>
      </c>
      <c r="C42" s="5" t="s">
        <v>7</v>
      </c>
      <c r="D42" s="5" t="s">
        <v>530</v>
      </c>
      <c r="E42" s="70">
        <f>CO2_irrigationwater_charfact</f>
        <v>0.12557837837837837</v>
      </c>
      <c r="F42">
        <v>3</v>
      </c>
      <c r="G42">
        <v>-153</v>
      </c>
      <c r="H42">
        <v>2</v>
      </c>
      <c r="I42" s="70">
        <f t="shared" si="1"/>
        <v>-19.213491891891891</v>
      </c>
      <c r="J42" s="1"/>
      <c r="K42" s="70">
        <f>I42*irrigationwatervalue</f>
        <v>-1.9213491891891893E-2</v>
      </c>
    </row>
    <row r="43" spans="1:12">
      <c r="A43" t="s">
        <v>1398</v>
      </c>
      <c r="B43" t="s">
        <v>511</v>
      </c>
      <c r="C43" s="5" t="s">
        <v>487</v>
      </c>
      <c r="D43" s="5" t="s">
        <v>530</v>
      </c>
      <c r="E43" s="70">
        <f>CO2_energyaccess_charfact</f>
        <v>3.1711711711711707E-7</v>
      </c>
      <c r="F43">
        <v>3</v>
      </c>
      <c r="G43">
        <v>-153</v>
      </c>
      <c r="H43">
        <v>2</v>
      </c>
      <c r="I43" s="70">
        <f t="shared" si="1"/>
        <v>-4.8518918918918909E-5</v>
      </c>
      <c r="J43" s="1"/>
      <c r="K43" s="70">
        <f>I43*energy_access</f>
        <v>-0.13585297297297294</v>
      </c>
    </row>
    <row r="44" spans="1:12">
      <c r="A44" t="s">
        <v>1398</v>
      </c>
      <c r="B44" s="5" t="s">
        <v>513</v>
      </c>
      <c r="C44" s="5" t="s">
        <v>5</v>
      </c>
      <c r="D44" s="5" t="s">
        <v>530</v>
      </c>
      <c r="E44" s="70">
        <f>CO2_housing_charfact</f>
        <v>1.9933075933075932E-8</v>
      </c>
      <c r="F44">
        <v>3</v>
      </c>
      <c r="G44">
        <v>-153</v>
      </c>
      <c r="H44">
        <v>2</v>
      </c>
      <c r="I44" s="70">
        <f t="shared" si="1"/>
        <v>-3.0497606177606176E-6</v>
      </c>
      <c r="J44" s="1"/>
      <c r="K44" s="70">
        <f>I44*housingvalue</f>
        <v>-6.0995212355212354E-3</v>
      </c>
    </row>
    <row r="45" spans="1:12">
      <c r="A45" t="s">
        <v>1398</v>
      </c>
      <c r="B45" s="5" t="s">
        <v>516</v>
      </c>
      <c r="C45" s="5" t="s">
        <v>523</v>
      </c>
      <c r="D45" s="5" t="s">
        <v>530</v>
      </c>
      <c r="E45" s="70">
        <f>CO2_separations_charfact</f>
        <v>2.2651222651222648E-7</v>
      </c>
      <c r="F45">
        <v>3</v>
      </c>
      <c r="G45">
        <v>-153</v>
      </c>
      <c r="H45">
        <v>2</v>
      </c>
      <c r="I45" s="70">
        <f t="shared" si="1"/>
        <v>-3.4656370656370649E-5</v>
      </c>
      <c r="J45" s="1"/>
      <c r="K45" s="70">
        <f>I45*migrationvalue</f>
        <v>-0.86640926640926619</v>
      </c>
    </row>
    <row r="46" spans="1:12">
      <c r="A46" t="s">
        <v>1398</v>
      </c>
      <c r="B46" t="s">
        <v>174</v>
      </c>
      <c r="C46" s="5" t="s">
        <v>505</v>
      </c>
      <c r="D46" s="5" t="s">
        <v>530</v>
      </c>
      <c r="E46" s="70">
        <f>charco2nex</f>
        <v>2.2651222651222649E-16</v>
      </c>
      <c r="F46">
        <v>3</v>
      </c>
      <c r="G46">
        <v>-153</v>
      </c>
      <c r="H46">
        <v>2</v>
      </c>
      <c r="I46" s="70">
        <f t="shared" si="1"/>
        <v>-3.4656370656370654E-14</v>
      </c>
      <c r="J46" s="1"/>
      <c r="K46" s="70">
        <f>I46*speciesvalue</f>
        <v>-1.9407567567567565E-3</v>
      </c>
    </row>
    <row r="47" spans="1:12">
      <c r="A47" t="s">
        <v>1398</v>
      </c>
      <c r="B47" s="5" t="s">
        <v>159</v>
      </c>
      <c r="K47" s="70">
        <f>SUM(K28:K46)</f>
        <v>121.5230928102703</v>
      </c>
      <c r="L47" s="70">
        <f>K47</f>
        <v>121.5230928102703</v>
      </c>
    </row>
    <row r="49" spans="1:11">
      <c r="H49" s="1"/>
    </row>
    <row r="51" spans="1:11">
      <c r="A51" s="45" t="s">
        <v>1399</v>
      </c>
      <c r="B51" t="s">
        <v>4</v>
      </c>
      <c r="D51" t="s">
        <v>251</v>
      </c>
      <c r="E51" s="1">
        <v>1140000</v>
      </c>
      <c r="F51">
        <v>2</v>
      </c>
      <c r="G51">
        <f>G28</f>
        <v>1.3E-11</v>
      </c>
      <c r="H51">
        <v>3</v>
      </c>
      <c r="I51" s="70">
        <f>E51*G51</f>
        <v>1.482E-5</v>
      </c>
      <c r="K51" s="70">
        <f>I51*YOLLvalue</f>
        <v>0.74099999999999999</v>
      </c>
    </row>
    <row r="52" spans="1:11">
      <c r="A52" s="45" t="s">
        <v>1399</v>
      </c>
      <c r="B52" t="s">
        <v>4</v>
      </c>
      <c r="D52" t="s">
        <v>252</v>
      </c>
      <c r="E52" s="1">
        <f>40/10*0.61/75*7200000000</f>
        <v>234239999.99999997</v>
      </c>
      <c r="F52">
        <v>2</v>
      </c>
      <c r="G52">
        <f>G29</f>
        <v>1.3E-11</v>
      </c>
      <c r="H52">
        <v>3</v>
      </c>
      <c r="I52" s="70">
        <f>E52*G52</f>
        <v>3.0451199999999997E-3</v>
      </c>
      <c r="K52" s="70">
        <f>I52*YOLLvalue</f>
        <v>152.25599999999997</v>
      </c>
    </row>
    <row r="53" spans="1:11">
      <c r="A53" s="45" t="s">
        <v>1399</v>
      </c>
      <c r="B53" t="s">
        <v>4</v>
      </c>
      <c r="D53" s="5" t="s">
        <v>530</v>
      </c>
      <c r="E53" s="43">
        <f>charco2yoll</f>
        <v>6.4889229343629337E-7</v>
      </c>
      <c r="F53">
        <v>3</v>
      </c>
      <c r="G53">
        <f>658</f>
        <v>658</v>
      </c>
      <c r="H53">
        <v>2</v>
      </c>
      <c r="I53" s="70">
        <f>E53*G53</f>
        <v>4.2697112908108106E-4</v>
      </c>
      <c r="J53" s="70">
        <v>4.26971129081081E-4</v>
      </c>
      <c r="K53" s="70">
        <f>YOLLvalue*I53</f>
        <v>21.348556454054052</v>
      </c>
    </row>
    <row r="54" spans="1:11">
      <c r="A54" s="45" t="s">
        <v>1399</v>
      </c>
      <c r="B54" t="s">
        <v>4</v>
      </c>
      <c r="D54" t="s">
        <v>159</v>
      </c>
      <c r="E54" s="1">
        <f>SUM(E51:E53)</f>
        <v>235380000.00000063</v>
      </c>
      <c r="I54" s="1"/>
      <c r="J54" s="70">
        <f>SUM(I51:I53)</f>
        <v>3.4869111290810806E-3</v>
      </c>
      <c r="K54" s="1"/>
    </row>
    <row r="55" spans="1:11">
      <c r="A55" s="45" t="s">
        <v>1399</v>
      </c>
      <c r="B55" s="5" t="s">
        <v>558</v>
      </c>
      <c r="D55" t="s">
        <v>251</v>
      </c>
      <c r="E55" s="1">
        <v>1140000</v>
      </c>
      <c r="F55">
        <v>3</v>
      </c>
      <c r="G55" s="1">
        <f>'8. Inorganic gases'!G8*658</f>
        <v>1.4904504504504503E-13</v>
      </c>
      <c r="H55">
        <v>3</v>
      </c>
      <c r="I55" s="70">
        <f t="shared" ref="I55:I69" si="2">E55*G55</f>
        <v>1.6991135135135133E-7</v>
      </c>
      <c r="K55" s="70">
        <f>I55*asthmacasesvalue</f>
        <v>3.6530940540540534E-4</v>
      </c>
    </row>
    <row r="56" spans="1:11">
      <c r="A56" s="45" t="s">
        <v>1399</v>
      </c>
      <c r="B56" s="5" t="s">
        <v>658</v>
      </c>
      <c r="D56" t="s">
        <v>252</v>
      </c>
      <c r="E56" s="1">
        <v>290000</v>
      </c>
      <c r="F56">
        <v>3</v>
      </c>
      <c r="G56" s="1">
        <f>'8. Inorganic gases'!G8*658</f>
        <v>1.4904504504504503E-13</v>
      </c>
      <c r="H56">
        <v>3</v>
      </c>
      <c r="I56" s="70">
        <f t="shared" si="2"/>
        <v>4.3223063063063058E-8</v>
      </c>
      <c r="K56" s="70">
        <f>I56*COPDvalue</f>
        <v>8.2772165765765762E-4</v>
      </c>
    </row>
    <row r="57" spans="1:11">
      <c r="A57" s="45" t="s">
        <v>1399</v>
      </c>
      <c r="B57" s="5" t="s">
        <v>519</v>
      </c>
      <c r="C57" s="5" t="s">
        <v>5</v>
      </c>
      <c r="D57" s="5" t="s">
        <v>530</v>
      </c>
      <c r="E57" s="70">
        <f>CO2_malnutrition_charfact</f>
        <v>2.3919691119691116E-6</v>
      </c>
      <c r="F57">
        <v>3</v>
      </c>
      <c r="G57">
        <f>658</f>
        <v>658</v>
      </c>
      <c r="H57">
        <v>2</v>
      </c>
      <c r="I57" s="70">
        <f t="shared" si="2"/>
        <v>1.5739156756756755E-3</v>
      </c>
      <c r="J57" s="70">
        <v>1.5739156756756755E-3</v>
      </c>
      <c r="K57" s="70">
        <f>I57*malnutrition</f>
        <v>15.030894702702701</v>
      </c>
    </row>
    <row r="58" spans="1:11">
      <c r="A58" s="45" t="s">
        <v>1399</v>
      </c>
      <c r="B58" s="5" t="s">
        <v>661</v>
      </c>
      <c r="C58" s="5" t="s">
        <v>5</v>
      </c>
      <c r="D58" s="5" t="s">
        <v>530</v>
      </c>
      <c r="E58" s="70">
        <f>CO2_malnutrition_charfact</f>
        <v>2.3919691119691116E-6</v>
      </c>
      <c r="F58">
        <v>3</v>
      </c>
      <c r="G58">
        <f>658</f>
        <v>658</v>
      </c>
      <c r="H58">
        <v>2</v>
      </c>
      <c r="I58" s="70">
        <f t="shared" si="2"/>
        <v>1.5739156756756755E-3</v>
      </c>
      <c r="J58" s="70">
        <v>7.6728389189189184E-4</v>
      </c>
      <c r="K58" s="70">
        <f>I58*working_capacity</f>
        <v>92.546241729729715</v>
      </c>
    </row>
    <row r="59" spans="1:11">
      <c r="A59" s="45" t="s">
        <v>1399</v>
      </c>
      <c r="B59" s="5" t="s">
        <v>521</v>
      </c>
      <c r="C59" s="5" t="s">
        <v>5</v>
      </c>
      <c r="D59" s="5" t="s">
        <v>530</v>
      </c>
      <c r="E59" s="70">
        <f>CO2_diarrhea_charfact</f>
        <v>1.5946460746460745E-8</v>
      </c>
      <c r="F59">
        <v>3</v>
      </c>
      <c r="G59">
        <f>658</f>
        <v>658</v>
      </c>
      <c r="H59">
        <v>2</v>
      </c>
      <c r="I59" s="70">
        <f t="shared" si="2"/>
        <v>1.049277117117117E-5</v>
      </c>
      <c r="J59" s="70">
        <v>1.049277117117117E-5</v>
      </c>
      <c r="K59" s="70">
        <f>I59*diarrhea</f>
        <v>5.5087048648648641E-2</v>
      </c>
    </row>
    <row r="60" spans="1:11">
      <c r="A60" s="45" t="s">
        <v>1399</v>
      </c>
      <c r="B60" s="5" t="s">
        <v>160</v>
      </c>
      <c r="C60" s="5" t="s">
        <v>7</v>
      </c>
      <c r="D60" s="5" t="s">
        <v>530</v>
      </c>
      <c r="E60" s="70">
        <f>CO2_crop_charfact</f>
        <v>1.0903898856840032E-2</v>
      </c>
      <c r="F60">
        <v>3</v>
      </c>
      <c r="G60">
        <f>658</f>
        <v>658</v>
      </c>
      <c r="H60">
        <v>2</v>
      </c>
      <c r="I60" s="70">
        <f t="shared" si="2"/>
        <v>7.1747654478007412</v>
      </c>
      <c r="J60" s="70">
        <v>7.1747654478007412</v>
      </c>
      <c r="K60" s="70">
        <f>I60*cropvalue</f>
        <v>1.578448398516163</v>
      </c>
    </row>
    <row r="61" spans="1:11">
      <c r="A61" s="45" t="s">
        <v>1399</v>
      </c>
      <c r="B61" s="5" t="s">
        <v>529</v>
      </c>
      <c r="C61" s="5" t="s">
        <v>7</v>
      </c>
      <c r="D61" s="5" t="s">
        <v>530</v>
      </c>
      <c r="E61" s="70">
        <f>CO2_fruitandveg_charfact</f>
        <v>1.3059096070860774E-3</v>
      </c>
      <c r="F61">
        <v>3</v>
      </c>
      <c r="G61">
        <f>658</f>
        <v>658</v>
      </c>
      <c r="H61">
        <v>2</v>
      </c>
      <c r="I61" s="70">
        <f t="shared" si="2"/>
        <v>0.8592885214626389</v>
      </c>
      <c r="J61" s="70">
        <v>0.85928852146263901</v>
      </c>
      <c r="K61" s="70">
        <f>I61*Fruitandveg_value</f>
        <v>0.33512252337042919</v>
      </c>
    </row>
    <row r="62" spans="1:11">
      <c r="A62" s="45" t="s">
        <v>1399</v>
      </c>
      <c r="B62" s="5" t="s">
        <v>538</v>
      </c>
      <c r="C62" s="5" t="s">
        <v>7</v>
      </c>
      <c r="D62" s="5" t="s">
        <v>530</v>
      </c>
      <c r="E62" s="70">
        <f>CO2_meatandfish_charfact</f>
        <v>5.1444923915512154E-4</v>
      </c>
      <c r="F62">
        <v>3</v>
      </c>
      <c r="G62">
        <f>658</f>
        <v>658</v>
      </c>
      <c r="H62">
        <v>2</v>
      </c>
      <c r="I62" s="70">
        <f t="shared" si="2"/>
        <v>0.33850759936406999</v>
      </c>
      <c r="J62" s="70">
        <v>0.33850759936406999</v>
      </c>
      <c r="K62" s="70">
        <f>I62*fishandmeatvalue</f>
        <v>0.71086595866454705</v>
      </c>
    </row>
    <row r="63" spans="1:11">
      <c r="A63" s="45" t="s">
        <v>1399</v>
      </c>
      <c r="B63" t="s">
        <v>161</v>
      </c>
      <c r="C63" s="5" t="s">
        <v>7</v>
      </c>
      <c r="D63" s="5" t="s">
        <v>530</v>
      </c>
      <c r="E63" s="70">
        <f>charco2woodgw</f>
        <v>0</v>
      </c>
      <c r="F63">
        <v>3</v>
      </c>
      <c r="G63">
        <f>658</f>
        <v>658</v>
      </c>
      <c r="H63">
        <v>2</v>
      </c>
      <c r="I63" s="70">
        <f t="shared" si="2"/>
        <v>0</v>
      </c>
      <c r="J63" s="70">
        <v>0</v>
      </c>
      <c r="K63" s="70">
        <f>I63*woodvalue</f>
        <v>0</v>
      </c>
    </row>
    <row r="64" spans="1:11">
      <c r="A64" s="45" t="s">
        <v>1399</v>
      </c>
      <c r="B64" t="s">
        <v>508</v>
      </c>
      <c r="C64" s="5" t="s">
        <v>7</v>
      </c>
      <c r="D64" s="5" t="s">
        <v>530</v>
      </c>
      <c r="E64" s="70">
        <f>CO2_drinkingwater_charfact</f>
        <v>6.2789189189189187E-2</v>
      </c>
      <c r="F64">
        <v>3</v>
      </c>
      <c r="G64">
        <f>658</f>
        <v>658</v>
      </c>
      <c r="H64">
        <v>2</v>
      </c>
      <c r="I64" s="70">
        <f t="shared" si="2"/>
        <v>41.315286486486485</v>
      </c>
      <c r="J64" s="70">
        <v>41.315286486486478</v>
      </c>
      <c r="K64" s="70">
        <f>I64*drinkingwatervalue</f>
        <v>8.2630572972972965E-2</v>
      </c>
    </row>
    <row r="65" spans="1:12">
      <c r="A65" s="45" t="s">
        <v>1399</v>
      </c>
      <c r="B65" t="s">
        <v>510</v>
      </c>
      <c r="C65" s="5" t="s">
        <v>7</v>
      </c>
      <c r="D65" s="5" t="s">
        <v>530</v>
      </c>
      <c r="E65" s="70">
        <f>CO2_irrigationwater_charfact</f>
        <v>0.12557837837837837</v>
      </c>
      <c r="F65">
        <v>3</v>
      </c>
      <c r="G65">
        <f>658</f>
        <v>658</v>
      </c>
      <c r="H65">
        <v>2</v>
      </c>
      <c r="I65" s="70">
        <f t="shared" si="2"/>
        <v>82.630572972972971</v>
      </c>
      <c r="J65" s="70">
        <v>82.630572972972956</v>
      </c>
      <c r="K65" s="70">
        <f>I65*irrigationwatervalue</f>
        <v>8.2630572972972965E-2</v>
      </c>
    </row>
    <row r="66" spans="1:12">
      <c r="A66" s="45" t="s">
        <v>1399</v>
      </c>
      <c r="B66" t="s">
        <v>511</v>
      </c>
      <c r="C66" s="5" t="s">
        <v>487</v>
      </c>
      <c r="D66" s="5" t="s">
        <v>530</v>
      </c>
      <c r="E66" s="70">
        <f>CO2_energyaccess_charfact</f>
        <v>3.1711711711711707E-7</v>
      </c>
      <c r="F66">
        <v>3</v>
      </c>
      <c r="G66">
        <f>658</f>
        <v>658</v>
      </c>
      <c r="H66">
        <v>2</v>
      </c>
      <c r="I66" s="70">
        <f t="shared" si="2"/>
        <v>2.0866306306306304E-4</v>
      </c>
      <c r="J66" s="70">
        <v>2.0866306306306304E-4</v>
      </c>
      <c r="K66" s="70">
        <f>I66*energy_access</f>
        <v>0.58425657657657648</v>
      </c>
    </row>
    <row r="67" spans="1:12">
      <c r="A67" s="45" t="s">
        <v>1399</v>
      </c>
      <c r="B67" s="5" t="s">
        <v>513</v>
      </c>
      <c r="C67" s="5" t="s">
        <v>5</v>
      </c>
      <c r="D67" s="5" t="s">
        <v>530</v>
      </c>
      <c r="E67" s="70">
        <f>CO2_housing_charfact</f>
        <v>1.9933075933075932E-8</v>
      </c>
      <c r="F67">
        <v>3</v>
      </c>
      <c r="G67">
        <f>658</f>
        <v>658</v>
      </c>
      <c r="H67">
        <v>2</v>
      </c>
      <c r="I67" s="70">
        <f t="shared" si="2"/>
        <v>1.3115963963963963E-5</v>
      </c>
      <c r="J67" s="70">
        <v>2.6231927927927923E-5</v>
      </c>
      <c r="K67" s="70">
        <f>I67*housingvalue</f>
        <v>2.6231927927927928E-2</v>
      </c>
    </row>
    <row r="68" spans="1:12">
      <c r="A68" s="45" t="s">
        <v>1399</v>
      </c>
      <c r="B68" s="5" t="s">
        <v>516</v>
      </c>
      <c r="C68" s="5" t="s">
        <v>523</v>
      </c>
      <c r="D68" s="5" t="s">
        <v>530</v>
      </c>
      <c r="E68" s="70">
        <f>CO2_separations_charfact</f>
        <v>2.2651222651222648E-7</v>
      </c>
      <c r="F68">
        <v>3</v>
      </c>
      <c r="G68">
        <f>658</f>
        <v>658</v>
      </c>
      <c r="H68">
        <v>2</v>
      </c>
      <c r="I68" s="70">
        <f t="shared" si="2"/>
        <v>1.4904504504504503E-4</v>
      </c>
      <c r="J68" s="70">
        <v>1.4904504504504503E-4</v>
      </c>
      <c r="K68" s="70">
        <f>I68*migrationvalue</f>
        <v>3.7261261261261258</v>
      </c>
    </row>
    <row r="69" spans="1:12">
      <c r="A69" s="45" t="s">
        <v>1399</v>
      </c>
      <c r="B69" t="s">
        <v>174</v>
      </c>
      <c r="C69" s="5" t="s">
        <v>505</v>
      </c>
      <c r="D69" s="5" t="s">
        <v>530</v>
      </c>
      <c r="E69" s="70">
        <f>charco2nex</f>
        <v>2.2651222651222649E-16</v>
      </c>
      <c r="F69">
        <v>3</v>
      </c>
      <c r="G69">
        <f>658</f>
        <v>658</v>
      </c>
      <c r="H69">
        <v>2</v>
      </c>
      <c r="I69" s="70">
        <f t="shared" si="2"/>
        <v>1.4904504504504503E-13</v>
      </c>
      <c r="J69" s="70">
        <v>1.4904504504504503E-13</v>
      </c>
      <c r="K69" s="70">
        <f>I69*speciesvalue</f>
        <v>8.3465225225225221E-3</v>
      </c>
    </row>
    <row r="70" spans="1:12">
      <c r="B70" s="5" t="s">
        <v>159</v>
      </c>
      <c r="K70" s="70">
        <f>SUM(K51:K69)</f>
        <v>289.11363214584844</v>
      </c>
      <c r="L70" s="70">
        <f>K70</f>
        <v>289.11363214584844</v>
      </c>
    </row>
    <row r="73" spans="1:12">
      <c r="A73" s="45" t="s">
        <v>1400</v>
      </c>
      <c r="B73" t="s">
        <v>4</v>
      </c>
      <c r="D73" t="s">
        <v>251</v>
      </c>
      <c r="E73" s="1">
        <v>1140000</v>
      </c>
      <c r="F73">
        <v>2</v>
      </c>
      <c r="G73">
        <f>0.52/(40000000000)</f>
        <v>1.3E-11</v>
      </c>
      <c r="H73">
        <v>3</v>
      </c>
      <c r="I73" s="70">
        <f>E73*G73</f>
        <v>1.482E-5</v>
      </c>
      <c r="K73" s="70">
        <f>I73*YOLLvalue</f>
        <v>0.74099999999999999</v>
      </c>
    </row>
    <row r="74" spans="1:12">
      <c r="A74" s="45" t="s">
        <v>1400</v>
      </c>
      <c r="B74" t="s">
        <v>4</v>
      </c>
      <c r="D74" t="s">
        <v>252</v>
      </c>
      <c r="E74" s="1">
        <f>40/10*0.61/75*7200000000</f>
        <v>234239999.99999997</v>
      </c>
      <c r="F74">
        <v>2</v>
      </c>
      <c r="G74">
        <f>0.52/(40000000000)</f>
        <v>1.3E-11</v>
      </c>
      <c r="H74">
        <v>3</v>
      </c>
      <c r="I74" s="70">
        <f>E74*G74</f>
        <v>3.0451199999999997E-3</v>
      </c>
      <c r="K74" s="70">
        <f>I74*YOLLvalue</f>
        <v>152.25599999999997</v>
      </c>
    </row>
    <row r="75" spans="1:12">
      <c r="A75" s="45" t="s">
        <v>1400</v>
      </c>
      <c r="B75" t="s">
        <v>4</v>
      </c>
      <c r="D75" s="5" t="s">
        <v>530</v>
      </c>
      <c r="E75" s="43">
        <f>charco2yoll</f>
        <v>6.4889229343629337E-7</v>
      </c>
      <c r="F75">
        <v>3</v>
      </c>
      <c r="G75">
        <f>-66.4</f>
        <v>-66.400000000000006</v>
      </c>
      <c r="H75">
        <v>2</v>
      </c>
      <c r="I75" s="70">
        <f>E75*G75</f>
        <v>-4.3086448284169883E-5</v>
      </c>
      <c r="K75" s="70">
        <f>YOLLvalue*I75</f>
        <v>-2.1543224142084942</v>
      </c>
    </row>
    <row r="76" spans="1:12">
      <c r="A76" s="45" t="s">
        <v>1400</v>
      </c>
      <c r="B76" t="s">
        <v>4</v>
      </c>
      <c r="D76" t="s">
        <v>159</v>
      </c>
      <c r="E76" s="1">
        <f>SUM(E73:E75)</f>
        <v>235380000.00000063</v>
      </c>
      <c r="I76" s="1"/>
      <c r="J76" s="70">
        <f>SUM(I73:I75)</f>
        <v>3.01685355171583E-3</v>
      </c>
      <c r="K76" s="1"/>
    </row>
    <row r="77" spans="1:12">
      <c r="A77" s="45" t="s">
        <v>1400</v>
      </c>
      <c r="B77" s="5" t="s">
        <v>558</v>
      </c>
      <c r="D77" t="s">
        <v>251</v>
      </c>
      <c r="E77" s="1">
        <v>1140000</v>
      </c>
      <c r="F77">
        <v>3</v>
      </c>
      <c r="G77">
        <f>0.52/(40000000000)</f>
        <v>1.3E-11</v>
      </c>
      <c r="H77">
        <v>3</v>
      </c>
      <c r="I77" s="70">
        <f t="shared" ref="I77:I91" si="3">E77*G77</f>
        <v>1.482E-5</v>
      </c>
      <c r="K77" s="70">
        <f>I77*asthmacasesvalue</f>
        <v>3.1863000000000002E-2</v>
      </c>
    </row>
    <row r="78" spans="1:12">
      <c r="A78" s="45" t="s">
        <v>1400</v>
      </c>
      <c r="B78" s="5" t="s">
        <v>658</v>
      </c>
      <c r="D78" t="s">
        <v>252</v>
      </c>
      <c r="E78" s="1">
        <v>290000</v>
      </c>
      <c r="F78">
        <v>3</v>
      </c>
      <c r="G78">
        <f>0.52/(40000000000)</f>
        <v>1.3E-11</v>
      </c>
      <c r="H78">
        <v>3</v>
      </c>
      <c r="I78" s="70">
        <f t="shared" si="3"/>
        <v>3.7699999999999999E-6</v>
      </c>
      <c r="K78" s="70">
        <f>I78*COPDvalue</f>
        <v>7.2195499999999996E-2</v>
      </c>
    </row>
    <row r="79" spans="1:12">
      <c r="A79" s="45" t="s">
        <v>1400</v>
      </c>
      <c r="B79" s="5" t="s">
        <v>519</v>
      </c>
      <c r="C79" s="5" t="s">
        <v>5</v>
      </c>
      <c r="D79" s="5" t="s">
        <v>530</v>
      </c>
      <c r="E79" s="70">
        <f>CO2_malnutrition_charfact</f>
        <v>2.3919691119691116E-6</v>
      </c>
      <c r="F79">
        <v>3</v>
      </c>
      <c r="G79">
        <f t="shared" ref="G79:G91" si="4">-66.4</f>
        <v>-66.400000000000006</v>
      </c>
      <c r="H79">
        <v>2</v>
      </c>
      <c r="I79" s="70">
        <f t="shared" si="3"/>
        <v>-1.5882674903474903E-4</v>
      </c>
      <c r="J79" s="1"/>
      <c r="K79" s="70">
        <f>I79*malnutrition</f>
        <v>-1.5167954532818533</v>
      </c>
    </row>
    <row r="80" spans="1:12">
      <c r="A80" s="45" t="s">
        <v>1400</v>
      </c>
      <c r="B80" s="5" t="s">
        <v>661</v>
      </c>
      <c r="C80" s="5" t="s">
        <v>5</v>
      </c>
      <c r="D80" s="5" t="s">
        <v>530</v>
      </c>
      <c r="E80" s="70">
        <f>CO2_malnutrition_charfact</f>
        <v>2.3919691119691116E-6</v>
      </c>
      <c r="F80">
        <v>3</v>
      </c>
      <c r="G80">
        <f t="shared" si="4"/>
        <v>-66.400000000000006</v>
      </c>
      <c r="H80">
        <v>2</v>
      </c>
      <c r="I80" s="70">
        <f t="shared" si="3"/>
        <v>-1.5882674903474903E-4</v>
      </c>
      <c r="J80" s="1"/>
      <c r="K80" s="70">
        <f>I80*working_capacity</f>
        <v>-9.3390128432432427</v>
      </c>
    </row>
    <row r="81" spans="1:12">
      <c r="A81" s="45" t="s">
        <v>1400</v>
      </c>
      <c r="B81" s="5" t="s">
        <v>521</v>
      </c>
      <c r="C81" s="5" t="s">
        <v>5</v>
      </c>
      <c r="D81" s="5" t="s">
        <v>530</v>
      </c>
      <c r="E81" s="70">
        <f>CO2_diarrhea_charfact</f>
        <v>1.5946460746460745E-8</v>
      </c>
      <c r="F81">
        <v>3</v>
      </c>
      <c r="G81">
        <f t="shared" si="4"/>
        <v>-66.400000000000006</v>
      </c>
      <c r="H81">
        <v>2</v>
      </c>
      <c r="I81" s="70">
        <f t="shared" si="3"/>
        <v>-1.0588449935649936E-6</v>
      </c>
      <c r="J81" s="1"/>
      <c r="K81" s="70">
        <f>I81*diarrhea</f>
        <v>-5.5589362162162164E-3</v>
      </c>
    </row>
    <row r="82" spans="1:12">
      <c r="A82" s="45" t="s">
        <v>1400</v>
      </c>
      <c r="B82" s="5" t="s">
        <v>160</v>
      </c>
      <c r="C82" s="5" t="s">
        <v>7</v>
      </c>
      <c r="D82" s="5" t="s">
        <v>530</v>
      </c>
      <c r="E82" s="70">
        <f>CO2_crop_charfact</f>
        <v>1.0903898856840032E-2</v>
      </c>
      <c r="F82">
        <v>3</v>
      </c>
      <c r="G82">
        <f t="shared" si="4"/>
        <v>-66.400000000000006</v>
      </c>
      <c r="H82">
        <v>2</v>
      </c>
      <c r="I82" s="70">
        <f t="shared" si="3"/>
        <v>-0.72401888409417814</v>
      </c>
      <c r="J82" s="1"/>
      <c r="K82" s="70">
        <f>I82*cropvalue</f>
        <v>-0.1592841545007192</v>
      </c>
    </row>
    <row r="83" spans="1:12">
      <c r="A83" s="45" t="s">
        <v>1400</v>
      </c>
      <c r="B83" s="5" t="s">
        <v>529</v>
      </c>
      <c r="C83" s="5" t="s">
        <v>7</v>
      </c>
      <c r="D83" s="5" t="s">
        <v>530</v>
      </c>
      <c r="E83" s="70">
        <f>CO2_fruitandveg_charfact</f>
        <v>1.3059096070860774E-3</v>
      </c>
      <c r="F83">
        <v>3</v>
      </c>
      <c r="G83">
        <f t="shared" si="4"/>
        <v>-66.400000000000006</v>
      </c>
      <c r="H83">
        <v>2</v>
      </c>
      <c r="I83" s="70">
        <f t="shared" si="3"/>
        <v>-8.6712397910515548E-2</v>
      </c>
      <c r="J83" s="1"/>
      <c r="K83" s="70">
        <f>I83*Fruitandveg_value</f>
        <v>-3.3817835185101064E-2</v>
      </c>
    </row>
    <row r="84" spans="1:12">
      <c r="A84" s="45" t="s">
        <v>1400</v>
      </c>
      <c r="B84" s="5" t="s">
        <v>538</v>
      </c>
      <c r="C84" s="5" t="s">
        <v>7</v>
      </c>
      <c r="D84" s="5" t="s">
        <v>530</v>
      </c>
      <c r="E84" s="70">
        <f>CO2_meatandfish_charfact</f>
        <v>5.1444923915512154E-4</v>
      </c>
      <c r="F84">
        <v>3</v>
      </c>
      <c r="G84">
        <f t="shared" si="4"/>
        <v>-66.400000000000006</v>
      </c>
      <c r="H84">
        <v>2</v>
      </c>
      <c r="I84" s="70">
        <f t="shared" si="3"/>
        <v>-3.4159429479900076E-2</v>
      </c>
      <c r="J84" s="1"/>
      <c r="K84" s="70">
        <f>I84*fishandmeatvalue</f>
        <v>-7.1734801907790163E-2</v>
      </c>
    </row>
    <row r="85" spans="1:12">
      <c r="A85" s="45" t="s">
        <v>1400</v>
      </c>
      <c r="B85" t="s">
        <v>161</v>
      </c>
      <c r="C85" s="5" t="s">
        <v>7</v>
      </c>
      <c r="D85" s="5" t="s">
        <v>530</v>
      </c>
      <c r="E85" s="70">
        <f>charco2woodgw</f>
        <v>0</v>
      </c>
      <c r="F85">
        <v>3</v>
      </c>
      <c r="G85">
        <f t="shared" si="4"/>
        <v>-66.400000000000006</v>
      </c>
      <c r="H85">
        <v>2</v>
      </c>
      <c r="I85" s="70">
        <f t="shared" si="3"/>
        <v>0</v>
      </c>
      <c r="J85" s="1"/>
      <c r="K85" s="70">
        <f>I85*woodvalue</f>
        <v>0</v>
      </c>
    </row>
    <row r="86" spans="1:12">
      <c r="A86" s="45" t="s">
        <v>1400</v>
      </c>
      <c r="B86" t="s">
        <v>508</v>
      </c>
      <c r="C86" s="5" t="s">
        <v>7</v>
      </c>
      <c r="D86" s="5" t="s">
        <v>530</v>
      </c>
      <c r="E86" s="70">
        <f>CO2_drinkingwater_charfact</f>
        <v>6.2789189189189187E-2</v>
      </c>
      <c r="F86">
        <v>3</v>
      </c>
      <c r="G86">
        <f t="shared" si="4"/>
        <v>-66.400000000000006</v>
      </c>
      <c r="H86">
        <v>2</v>
      </c>
      <c r="I86" s="70">
        <f t="shared" si="3"/>
        <v>-4.1692021621621622</v>
      </c>
      <c r="J86" s="1"/>
      <c r="K86" s="70">
        <f>I86*drinkingwatervalue</f>
        <v>-8.338404324324325E-3</v>
      </c>
    </row>
    <row r="87" spans="1:12">
      <c r="A87" s="45" t="s">
        <v>1400</v>
      </c>
      <c r="B87" t="s">
        <v>510</v>
      </c>
      <c r="C87" s="5" t="s">
        <v>7</v>
      </c>
      <c r="D87" s="5" t="s">
        <v>530</v>
      </c>
      <c r="E87" s="70">
        <f>CO2_irrigationwater_charfact</f>
        <v>0.12557837837837837</v>
      </c>
      <c r="F87">
        <v>3</v>
      </c>
      <c r="G87">
        <f t="shared" si="4"/>
        <v>-66.400000000000006</v>
      </c>
      <c r="H87">
        <v>2</v>
      </c>
      <c r="I87" s="70">
        <f t="shared" si="3"/>
        <v>-8.3384043243243244</v>
      </c>
      <c r="J87" s="1"/>
      <c r="K87" s="70">
        <f>I87*irrigationwatervalue</f>
        <v>-8.338404324324325E-3</v>
      </c>
    </row>
    <row r="88" spans="1:12">
      <c r="A88" s="45" t="s">
        <v>1400</v>
      </c>
      <c r="B88" t="s">
        <v>511</v>
      </c>
      <c r="C88" s="5" t="s">
        <v>487</v>
      </c>
      <c r="D88" s="5" t="s">
        <v>530</v>
      </c>
      <c r="E88" s="70">
        <f>CO2_energyaccess_charfact</f>
        <v>3.1711711711711707E-7</v>
      </c>
      <c r="F88">
        <v>3</v>
      </c>
      <c r="G88">
        <f t="shared" si="4"/>
        <v>-66.400000000000006</v>
      </c>
      <c r="H88">
        <v>2</v>
      </c>
      <c r="I88" s="70">
        <f t="shared" si="3"/>
        <v>-2.1056576576576576E-5</v>
      </c>
      <c r="J88" s="1"/>
      <c r="K88" s="70">
        <f>I88*energy_access</f>
        <v>-5.8958414414414413E-2</v>
      </c>
    </row>
    <row r="89" spans="1:12">
      <c r="A89" s="45" t="s">
        <v>1400</v>
      </c>
      <c r="B89" s="5" t="s">
        <v>513</v>
      </c>
      <c r="C89" s="5" t="s">
        <v>5</v>
      </c>
      <c r="D89" s="5" t="s">
        <v>530</v>
      </c>
      <c r="E89" s="70">
        <f>CO2_housing_charfact</f>
        <v>1.9933075933075932E-8</v>
      </c>
      <c r="F89">
        <v>3</v>
      </c>
      <c r="G89">
        <f t="shared" si="4"/>
        <v>-66.400000000000006</v>
      </c>
      <c r="H89">
        <v>2</v>
      </c>
      <c r="I89" s="70">
        <f t="shared" si="3"/>
        <v>-1.3235562419562421E-6</v>
      </c>
      <c r="J89" s="1"/>
      <c r="K89" s="70">
        <f>I89*housingvalue</f>
        <v>-2.6471124839124839E-3</v>
      </c>
    </row>
    <row r="90" spans="1:12">
      <c r="A90" s="45" t="s">
        <v>1400</v>
      </c>
      <c r="B90" s="5" t="s">
        <v>516</v>
      </c>
      <c r="C90" s="5" t="s">
        <v>523</v>
      </c>
      <c r="D90" s="5" t="s">
        <v>530</v>
      </c>
      <c r="E90" s="70">
        <f>CO2_separations_charfact</f>
        <v>2.2651222651222648E-7</v>
      </c>
      <c r="F90">
        <v>3</v>
      </c>
      <c r="G90">
        <f t="shared" si="4"/>
        <v>-66.400000000000006</v>
      </c>
      <c r="H90">
        <v>2</v>
      </c>
      <c r="I90" s="70">
        <f t="shared" si="3"/>
        <v>-1.5040411840411839E-5</v>
      </c>
      <c r="J90" s="1"/>
      <c r="K90" s="70">
        <f>I90*migrationvalue</f>
        <v>-0.37601029601029595</v>
      </c>
    </row>
    <row r="91" spans="1:12">
      <c r="A91" s="45" t="s">
        <v>1400</v>
      </c>
      <c r="B91" t="s">
        <v>174</v>
      </c>
      <c r="C91" s="5" t="s">
        <v>505</v>
      </c>
      <c r="D91" s="5" t="s">
        <v>530</v>
      </c>
      <c r="E91" s="70">
        <f>charco2nex</f>
        <v>2.2651222651222649E-16</v>
      </c>
      <c r="F91">
        <v>3</v>
      </c>
      <c r="G91">
        <f t="shared" si="4"/>
        <v>-66.400000000000006</v>
      </c>
      <c r="H91">
        <v>2</v>
      </c>
      <c r="I91" s="70">
        <f t="shared" si="3"/>
        <v>-1.5040411840411839E-14</v>
      </c>
      <c r="J91" s="1"/>
      <c r="K91" s="70">
        <f>I91*speciesvalue</f>
        <v>-8.4226306306306301E-4</v>
      </c>
    </row>
    <row r="92" spans="1:12">
      <c r="B92" s="5" t="s">
        <v>159</v>
      </c>
      <c r="K92" s="70">
        <f>SUM(K73:K91)</f>
        <v>139.36539716683629</v>
      </c>
      <c r="L92" s="70">
        <f>K92</f>
        <v>139.36539716683629</v>
      </c>
    </row>
    <row r="94" spans="1:12">
      <c r="A94" t="s">
        <v>1401</v>
      </c>
      <c r="B94" t="s">
        <v>4</v>
      </c>
      <c r="D94" t="s">
        <v>1395</v>
      </c>
      <c r="E94" s="1">
        <f>0.0043*0.83*5.8*0.000000001*0.4/70*7200000000</f>
        <v>8.5166537142857153E-4</v>
      </c>
      <c r="F94">
        <v>3</v>
      </c>
      <c r="G94">
        <v>1</v>
      </c>
      <c r="H94">
        <v>2</v>
      </c>
      <c r="I94" s="70">
        <f>E94*G94</f>
        <v>8.5166537142857153E-4</v>
      </c>
      <c r="J94" s="1"/>
      <c r="K94" s="70">
        <f>YOLLvalue*I94</f>
        <v>42.583268571428576</v>
      </c>
    </row>
    <row r="95" spans="1:12">
      <c r="A95" t="s">
        <v>1401</v>
      </c>
      <c r="B95" t="s">
        <v>4</v>
      </c>
      <c r="C95" t="s">
        <v>5</v>
      </c>
      <c r="D95" t="s">
        <v>1556</v>
      </c>
      <c r="E95" s="1">
        <f>0.01*5*0.4*0.000000001/70*7200000000</f>
        <v>2.0571428571428576E-3</v>
      </c>
      <c r="F95">
        <v>3</v>
      </c>
      <c r="G95">
        <v>1</v>
      </c>
      <c r="H95">
        <v>1</v>
      </c>
      <c r="I95" s="70">
        <f>E95*G95</f>
        <v>2.0571428571428576E-3</v>
      </c>
      <c r="J95" s="1"/>
      <c r="K95" s="70">
        <f>YOLLvalue*I95</f>
        <v>102.85714285714288</v>
      </c>
    </row>
    <row r="96" spans="1:12">
      <c r="A96" t="s">
        <v>1401</v>
      </c>
      <c r="B96" t="s">
        <v>1395</v>
      </c>
      <c r="D96" t="s">
        <v>1395</v>
      </c>
      <c r="E96" s="1">
        <f>0.0043*1*0.000000001/70*72000000000</f>
        <v>4.4228571428571433E-3</v>
      </c>
      <c r="F96">
        <v>3</v>
      </c>
      <c r="G96" s="45">
        <v>1</v>
      </c>
      <c r="H96">
        <v>2</v>
      </c>
      <c r="I96" s="70">
        <f>E96*G96</f>
        <v>4.4228571428571433E-3</v>
      </c>
      <c r="J96" s="1"/>
      <c r="K96" s="70">
        <f>I96*cancervalue</f>
        <v>44.228571428571435</v>
      </c>
    </row>
    <row r="97" spans="1:12">
      <c r="A97" t="s">
        <v>1401</v>
      </c>
      <c r="B97" t="s">
        <v>161</v>
      </c>
      <c r="D97" t="s">
        <v>1406</v>
      </c>
      <c r="E97">
        <v>0</v>
      </c>
      <c r="F97">
        <v>1</v>
      </c>
      <c r="G97">
        <v>1</v>
      </c>
      <c r="H97">
        <v>1</v>
      </c>
      <c r="I97" s="70">
        <v>0</v>
      </c>
      <c r="J97" s="70">
        <v>0</v>
      </c>
      <c r="K97" s="70">
        <v>0</v>
      </c>
    </row>
    <row r="98" spans="1:12">
      <c r="A98" t="s">
        <v>1401</v>
      </c>
      <c r="B98" t="s">
        <v>159</v>
      </c>
      <c r="D98" t="s">
        <v>159</v>
      </c>
      <c r="L98" s="70">
        <f>SUM(K94:K97)</f>
        <v>189.66898285714288</v>
      </c>
    </row>
    <row r="100" spans="1:12">
      <c r="A100" t="s">
        <v>1402</v>
      </c>
      <c r="B100" t="s">
        <v>4</v>
      </c>
      <c r="D100" t="s">
        <v>1395</v>
      </c>
      <c r="E100" s="1">
        <f>0.0018*0.34*24*0.000000001/70*7200000000</f>
        <v>1.5107657142857144E-3</v>
      </c>
      <c r="F100">
        <v>3</v>
      </c>
      <c r="G100">
        <v>1</v>
      </c>
      <c r="H100">
        <v>2</v>
      </c>
      <c r="I100" s="70">
        <f>E100*G100</f>
        <v>1.5107657142857144E-3</v>
      </c>
      <c r="J100" s="1"/>
      <c r="K100" s="70">
        <f>I100*YOLLvalue</f>
        <v>75.53828571428572</v>
      </c>
    </row>
    <row r="101" spans="1:12">
      <c r="A101" t="s">
        <v>1402</v>
      </c>
      <c r="B101" s="45" t="s">
        <v>1395</v>
      </c>
      <c r="D101" t="s">
        <v>1395</v>
      </c>
      <c r="E101" s="1">
        <f>0.0018*0.66*3*0.000000001/70*72000000000</f>
        <v>3.6658285714285723E-3</v>
      </c>
      <c r="F101">
        <v>3</v>
      </c>
      <c r="G101">
        <v>1</v>
      </c>
      <c r="H101">
        <v>2</v>
      </c>
      <c r="I101" s="70">
        <f>E101*G101</f>
        <v>3.6658285714285723E-3</v>
      </c>
      <c r="J101" s="1"/>
      <c r="K101" s="70">
        <f>I101*cancervalue</f>
        <v>36.658285714285725</v>
      </c>
    </row>
    <row r="102" spans="1:12">
      <c r="A102" t="s">
        <v>1402</v>
      </c>
      <c r="B102" t="s">
        <v>161</v>
      </c>
      <c r="D102" t="s">
        <v>295</v>
      </c>
      <c r="E102">
        <v>0</v>
      </c>
      <c r="G102">
        <v>1</v>
      </c>
      <c r="H102">
        <v>1</v>
      </c>
      <c r="I102" s="69">
        <v>0</v>
      </c>
      <c r="J102" s="1"/>
      <c r="K102" s="70">
        <f>I102*woodvalue</f>
        <v>0</v>
      </c>
    </row>
    <row r="103" spans="1:12">
      <c r="A103" t="s">
        <v>1402</v>
      </c>
      <c r="B103" t="s">
        <v>159</v>
      </c>
      <c r="D103" t="s">
        <v>159</v>
      </c>
      <c r="L103" s="70">
        <f>SUM(K100:K102)</f>
        <v>112.19657142857145</v>
      </c>
    </row>
    <row r="105" spans="1:12">
      <c r="A105" t="s">
        <v>1403</v>
      </c>
      <c r="B105" t="s">
        <v>4</v>
      </c>
      <c r="D105" t="s">
        <v>1395</v>
      </c>
      <c r="E105" s="1">
        <f>0.26*0.04*0.83*5.8*0.000000001*0.4/70*7200000000</f>
        <v>2.0598418285714291E-3</v>
      </c>
      <c r="F105">
        <v>3</v>
      </c>
      <c r="G105">
        <v>1</v>
      </c>
      <c r="H105">
        <v>2</v>
      </c>
      <c r="I105" s="70">
        <f>E105*G105</f>
        <v>2.0598418285714291E-3</v>
      </c>
      <c r="J105" s="1"/>
      <c r="K105" s="70">
        <f>YOLLvalue*I105</f>
        <v>102.99209142857146</v>
      </c>
    </row>
    <row r="106" spans="1:12">
      <c r="A106" t="s">
        <v>1403</v>
      </c>
      <c r="B106" s="45" t="s">
        <v>1395</v>
      </c>
      <c r="D106" t="s">
        <v>1395</v>
      </c>
      <c r="E106" s="1">
        <f>0.26*0.04*0.17*3*0.000000001*0.4/70*7200000000</f>
        <v>2.1822171428571434E-4</v>
      </c>
      <c r="F106">
        <v>3</v>
      </c>
      <c r="G106">
        <v>1</v>
      </c>
      <c r="H106">
        <v>2</v>
      </c>
      <c r="I106" s="70">
        <f>E106*G106</f>
        <v>2.1822171428571434E-4</v>
      </c>
      <c r="J106" s="1"/>
      <c r="K106" s="70">
        <f>I106*cancervalue</f>
        <v>2.1822171428571435</v>
      </c>
    </row>
    <row r="107" spans="1:12">
      <c r="A107" t="s">
        <v>1403</v>
      </c>
      <c r="B107" t="s">
        <v>159</v>
      </c>
      <c r="D107" t="s">
        <v>159</v>
      </c>
      <c r="E107" s="1"/>
      <c r="L107" s="70">
        <f>SUM(K105:K106)</f>
        <v>105.1743085714286</v>
      </c>
    </row>
    <row r="109" spans="1:12">
      <c r="A109" t="s">
        <v>1404</v>
      </c>
      <c r="B109" t="s">
        <v>161</v>
      </c>
      <c r="D109" t="s">
        <v>295</v>
      </c>
      <c r="E109">
        <v>0</v>
      </c>
      <c r="F109">
        <v>1</v>
      </c>
      <c r="G109">
        <v>1</v>
      </c>
      <c r="H109">
        <v>1</v>
      </c>
      <c r="I109" s="70">
        <f>E109*G109</f>
        <v>0</v>
      </c>
      <c r="K109" s="70">
        <f>I109</f>
        <v>0</v>
      </c>
      <c r="L109" s="70">
        <f>K109*woodvalue</f>
        <v>0</v>
      </c>
    </row>
    <row r="110" spans="1:12">
      <c r="I110" s="4"/>
      <c r="K110" s="4"/>
      <c r="L110" s="4"/>
    </row>
    <row r="111" spans="1:12">
      <c r="A111" t="s">
        <v>1405</v>
      </c>
      <c r="B111" t="s">
        <v>4</v>
      </c>
      <c r="D111" t="s">
        <v>1395</v>
      </c>
      <c r="E111" s="1">
        <f>0.00038*0.83*5.8*0.000000001*0.4/70*7200000000</f>
        <v>7.5263451428571446E-5</v>
      </c>
      <c r="F111">
        <v>3</v>
      </c>
      <c r="G111">
        <v>1</v>
      </c>
      <c r="H111">
        <v>1</v>
      </c>
      <c r="I111" s="70">
        <f>E111*G111</f>
        <v>7.5263451428571446E-5</v>
      </c>
      <c r="K111" s="70">
        <f>YOLLvalue*I111</f>
        <v>3.7631725714285724</v>
      </c>
      <c r="L111" s="4"/>
    </row>
    <row r="112" spans="1:12">
      <c r="A112" t="s">
        <v>1405</v>
      </c>
      <c r="B112" t="s">
        <v>253</v>
      </c>
      <c r="D112" t="s">
        <v>1395</v>
      </c>
      <c r="E112" s="1">
        <f>0.00038*0.17*3*0.000000001*0.4/70*7200000000</f>
        <v>7.9734857142857182E-6</v>
      </c>
      <c r="F112">
        <v>3</v>
      </c>
      <c r="G112">
        <v>1</v>
      </c>
      <c r="H112">
        <v>1</v>
      </c>
      <c r="I112" s="70">
        <f>E112*G112</f>
        <v>7.9734857142857182E-6</v>
      </c>
      <c r="K112" s="70">
        <f>cancervalue*I112</f>
        <v>7.9734857142857177E-2</v>
      </c>
      <c r="L112" s="4"/>
    </row>
    <row r="113" spans="1:12">
      <c r="A113" t="s">
        <v>1405</v>
      </c>
      <c r="B113" t="s">
        <v>161</v>
      </c>
      <c r="D113" t="s">
        <v>295</v>
      </c>
      <c r="E113">
        <v>0</v>
      </c>
      <c r="F113">
        <v>1</v>
      </c>
      <c r="G113">
        <v>1</v>
      </c>
      <c r="H113">
        <v>1</v>
      </c>
      <c r="I113" s="70">
        <f>E113*G113</f>
        <v>0</v>
      </c>
      <c r="K113" s="70">
        <f>I113*woodvalue</f>
        <v>0</v>
      </c>
      <c r="L113" s="4"/>
    </row>
    <row r="114" spans="1:12">
      <c r="L114" s="70">
        <f>SUM(K111:K113)</f>
        <v>3.8429074285714298</v>
      </c>
    </row>
    <row r="115" spans="1:12">
      <c r="L115" s="70"/>
    </row>
    <row r="116" spans="1:12">
      <c r="A116" t="s">
        <v>261</v>
      </c>
      <c r="B116" t="s">
        <v>1407</v>
      </c>
      <c r="D116" t="s">
        <v>258</v>
      </c>
      <c r="E116" s="8">
        <v>100000</v>
      </c>
      <c r="F116">
        <v>5</v>
      </c>
      <c r="G116" s="1">
        <f>1/31000000</f>
        <v>3.2258064516129035E-8</v>
      </c>
      <c r="H116">
        <v>5</v>
      </c>
      <c r="I116" s="70">
        <f>E116*G116</f>
        <v>3.2258064516129037E-3</v>
      </c>
      <c r="J116" s="1"/>
      <c r="K116" s="70">
        <f>I116*Intellectualdisabilityvalue</f>
        <v>5.0000000000000009</v>
      </c>
      <c r="L116" s="4"/>
    </row>
    <row r="117" spans="1:12">
      <c r="A117" t="s">
        <v>261</v>
      </c>
      <c r="B117" t="s">
        <v>161</v>
      </c>
      <c r="D117" t="s">
        <v>295</v>
      </c>
      <c r="E117">
        <v>0</v>
      </c>
      <c r="G117">
        <v>1</v>
      </c>
      <c r="I117" s="69">
        <v>0</v>
      </c>
      <c r="J117" s="70">
        <v>0</v>
      </c>
      <c r="K117" s="70">
        <v>0</v>
      </c>
    </row>
    <row r="118" spans="1:12">
      <c r="A118" t="s">
        <v>261</v>
      </c>
      <c r="B118" t="s">
        <v>159</v>
      </c>
      <c r="D118" t="s">
        <v>159</v>
      </c>
      <c r="L118" s="70">
        <f>SUM(K116:K117)</f>
        <v>5.0000000000000009</v>
      </c>
    </row>
    <row r="120" spans="1:12">
      <c r="A120" t="s">
        <v>262</v>
      </c>
      <c r="B120" t="s">
        <v>159</v>
      </c>
      <c r="D120" t="s">
        <v>159</v>
      </c>
      <c r="L120">
        <v>0</v>
      </c>
    </row>
    <row r="122" spans="1:12">
      <c r="A122" t="s">
        <v>1531</v>
      </c>
      <c r="B122" t="s">
        <v>4</v>
      </c>
      <c r="D122" t="s">
        <v>253</v>
      </c>
      <c r="E122" s="1">
        <f>0.000031/70*7200000000*24</f>
        <v>76525.71428571429</v>
      </c>
      <c r="G122" s="1">
        <f>1/520000000</f>
        <v>1.9230769230769231E-9</v>
      </c>
      <c r="I122" s="70">
        <f>E122*G122</f>
        <v>1.4716483516483519E-4</v>
      </c>
      <c r="J122" s="1"/>
      <c r="K122" s="70">
        <f>I122*YOLLvalue</f>
        <v>7.3582417582417596</v>
      </c>
      <c r="L122" s="4"/>
    </row>
    <row r="123" spans="1:12">
      <c r="A123" t="s">
        <v>1531</v>
      </c>
      <c r="B123" t="s">
        <v>1395</v>
      </c>
      <c r="D123" t="s">
        <v>253</v>
      </c>
      <c r="E123" s="1">
        <f>0.000031/70*7200000000*3</f>
        <v>9565.7142857142862</v>
      </c>
      <c r="G123" s="1">
        <f>1/520000000</f>
        <v>1.9230769230769231E-9</v>
      </c>
      <c r="I123" s="70">
        <f>E123*G123</f>
        <v>1.8395604395604398E-5</v>
      </c>
      <c r="J123" s="1"/>
      <c r="K123" s="70">
        <f>I123*cancervalue</f>
        <v>0.18395604395604398</v>
      </c>
    </row>
    <row r="124" spans="1:12">
      <c r="A124" t="s">
        <v>1531</v>
      </c>
      <c r="L124" s="70">
        <f>SUM(K122:K123)</f>
        <v>7.542197802197804</v>
      </c>
    </row>
    <row r="125" spans="1:12">
      <c r="L125" s="8"/>
    </row>
    <row r="126" spans="1:12">
      <c r="A126" s="45" t="s">
        <v>1557</v>
      </c>
      <c r="B126" t="s">
        <v>4</v>
      </c>
      <c r="D126" t="s">
        <v>253</v>
      </c>
      <c r="E126">
        <v>0</v>
      </c>
      <c r="F126">
        <v>1</v>
      </c>
      <c r="G126">
        <v>0</v>
      </c>
      <c r="H126">
        <v>1</v>
      </c>
      <c r="I126" s="70">
        <f>E126*G126</f>
        <v>0</v>
      </c>
      <c r="K126" s="70">
        <f>I126*YOLLvalue</f>
        <v>0</v>
      </c>
      <c r="L126" s="8"/>
    </row>
    <row r="127" spans="1:12">
      <c r="B127" t="s">
        <v>1395</v>
      </c>
      <c r="D127" t="s">
        <v>253</v>
      </c>
      <c r="E127">
        <v>0</v>
      </c>
      <c r="F127">
        <v>1</v>
      </c>
      <c r="G127">
        <v>0</v>
      </c>
      <c r="H127">
        <v>1</v>
      </c>
      <c r="I127" s="70">
        <f>E127*G127</f>
        <v>0</v>
      </c>
      <c r="K127" s="70">
        <f>I127*cancervalue</f>
        <v>0</v>
      </c>
      <c r="L127" s="8"/>
    </row>
    <row r="128" spans="1:12">
      <c r="L128" s="70">
        <f>SUM(K126:K127)</f>
        <v>0</v>
      </c>
    </row>
  </sheetData>
  <pageMargins left="0.7" right="0.7" top="0.75" bottom="0.75" header="0.3" footer="0.3"/>
  <pageSetup paperSize="0" orientation="portrait"/>
  <ignoredErrors>
    <ignoredError sqref="E41" formula="1"/>
  </ignoredErrors>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148</vt:i4>
      </vt:variant>
    </vt:vector>
  </HeadingPairs>
  <TitlesOfParts>
    <vt:vector size="164" baseType="lpstr">
      <vt:lpstr>1. Introduction</vt:lpstr>
      <vt:lpstr>2. State indicators</vt:lpstr>
      <vt:lpstr>3. Fossil res</vt:lpstr>
      <vt:lpstr>4. Al</vt:lpstr>
      <vt:lpstr>5. Fe</vt:lpstr>
      <vt:lpstr>6. Other elements</vt:lpstr>
      <vt:lpstr>7. Em to water</vt:lpstr>
      <vt:lpstr>8. Inorganic gases</vt:lpstr>
      <vt:lpstr>9. Particles</vt:lpstr>
      <vt:lpstr>11. Halo. org.</vt:lpstr>
      <vt:lpstr>10. VOC</vt:lpstr>
      <vt:lpstr>12. Pesticides</vt:lpstr>
      <vt:lpstr>13. Noise</vt:lpstr>
      <vt:lpstr>14. Radionuclids</vt:lpstr>
      <vt:lpstr>15. Land use</vt:lpstr>
      <vt:lpstr>16. waste</vt:lpstr>
      <vt:lpstr>Ag_orevalue</vt:lpstr>
      <vt:lpstr>Al_orevalue</vt:lpstr>
      <vt:lpstr>anginavalue</vt:lpstr>
      <vt:lpstr>Ar_value</vt:lpstr>
      <vt:lpstr>As_orevalue</vt:lpstr>
      <vt:lpstr>asthmacasesvalue</vt:lpstr>
      <vt:lpstr>Au_orevalue</vt:lpstr>
      <vt:lpstr>averagepesticidepotency</vt:lpstr>
      <vt:lpstr>B_orevalue</vt:lpstr>
      <vt:lpstr>Ba_orevalue</vt:lpstr>
      <vt:lpstr>Be_orevalue</vt:lpstr>
      <vt:lpstr>Bi_orevalue</vt:lpstr>
      <vt:lpstr>Br_orevalue</vt:lpstr>
      <vt:lpstr>cancervalue</vt:lpstr>
      <vt:lpstr>Cd_orevalue</vt:lpstr>
      <vt:lpstr>Ce_orevalue</vt:lpstr>
      <vt:lpstr>charco2crop</vt:lpstr>
      <vt:lpstr>charco2nex</vt:lpstr>
      <vt:lpstr>charco2woodgw</vt:lpstr>
      <vt:lpstr>charco2yoll</vt:lpstr>
      <vt:lpstr>charnoxcrop</vt:lpstr>
      <vt:lpstr>charpm10yoll</vt:lpstr>
      <vt:lpstr>charso2yoll</vt:lpstr>
      <vt:lpstr>charso2yollsecondaryparticles</vt:lpstr>
      <vt:lpstr>Cl_orevalue</vt:lpstr>
      <vt:lpstr>Co_orevalue</vt:lpstr>
      <vt:lpstr>CO_value</vt:lpstr>
      <vt:lpstr>CO2_crop_charfact</vt:lpstr>
      <vt:lpstr>CO2_diarrhea_charfact</vt:lpstr>
      <vt:lpstr>CO2_drinkingwater_charfact</vt:lpstr>
      <vt:lpstr>CO2_energyaccess_charfact</vt:lpstr>
      <vt:lpstr>CO2_fruitandveg_charfact</vt:lpstr>
      <vt:lpstr>CO2_housing_charfact</vt:lpstr>
      <vt:lpstr>CO2_irrigationwater_charfact</vt:lpstr>
      <vt:lpstr>CO2_malnutrition_charfact</vt:lpstr>
      <vt:lpstr>CO2_meatandfish_charfact</vt:lpstr>
      <vt:lpstr>CO2_NEX_charfact</vt:lpstr>
      <vt:lpstr>CO2_separations_charfact</vt:lpstr>
      <vt:lpstr>CO2_workingcapacity_charfact</vt:lpstr>
      <vt:lpstr>CO2value</vt:lpstr>
      <vt:lpstr>coalvalue</vt:lpstr>
      <vt:lpstr>COPDvalue</vt:lpstr>
      <vt:lpstr>Cr_orevalue</vt:lpstr>
      <vt:lpstr>cropvalue</vt:lpstr>
      <vt:lpstr>Cs_orevalue</vt:lpstr>
      <vt:lpstr>Cu_orevalue</vt:lpstr>
      <vt:lpstr>diarrhea</vt:lpstr>
      <vt:lpstr>drinkingwatervalue</vt:lpstr>
      <vt:lpstr>Dy_orevalue</vt:lpstr>
      <vt:lpstr>energy_access</vt:lpstr>
      <vt:lpstr>Er_orevalue</vt:lpstr>
      <vt:lpstr>Eu_orevalue</vt:lpstr>
      <vt:lpstr>F_orevalue</vt:lpstr>
      <vt:lpstr>Fe_orevalue</vt:lpstr>
      <vt:lpstr>fishandmeatvalue</vt:lpstr>
      <vt:lpstr>Fruitandveg_value</vt:lpstr>
      <vt:lpstr>Ga_orevalue</vt:lpstr>
      <vt:lpstr>Gd_orevalue</vt:lpstr>
      <vt:lpstr>Ge_orevalue</vt:lpstr>
      <vt:lpstr>goodstransportvalue</vt:lpstr>
      <vt:lpstr>H_value</vt:lpstr>
      <vt:lpstr>He_value</vt:lpstr>
      <vt:lpstr>Hf_orevalue</vt:lpstr>
      <vt:lpstr>HFC134avalue</vt:lpstr>
      <vt:lpstr>Hg_orevalue</vt:lpstr>
      <vt:lpstr>Ho_orevalue</vt:lpstr>
      <vt:lpstr>housingvalue</vt:lpstr>
      <vt:lpstr>I_orevalue</vt:lpstr>
      <vt:lpstr>In_orevalue</vt:lpstr>
      <vt:lpstr>Industryuseofforestlandvalue</vt:lpstr>
      <vt:lpstr>Intellectualdisabilityvalue</vt:lpstr>
      <vt:lpstr>Ir_orevalue</vt:lpstr>
      <vt:lpstr>irrigationwatervalue</vt:lpstr>
      <vt:lpstr>K_orevalue</vt:lpstr>
      <vt:lpstr>La_orevalue</vt:lpstr>
      <vt:lpstr>Li_orevalue</vt:lpstr>
      <vt:lpstr>lignitevalue</vt:lpstr>
      <vt:lpstr>Lowvisionvalue</vt:lpstr>
      <vt:lpstr>Lu_orevalue</vt:lpstr>
      <vt:lpstr>malaria_episodes</vt:lpstr>
      <vt:lpstr>malnutrition</vt:lpstr>
      <vt:lpstr>methanevalue</vt:lpstr>
      <vt:lpstr>Mg_orevalue</vt:lpstr>
      <vt:lpstr>migrationvalue</vt:lpstr>
      <vt:lpstr>Mn_orevalue</vt:lpstr>
      <vt:lpstr>Mo_orevalue</vt:lpstr>
      <vt:lpstr>N_value</vt:lpstr>
      <vt:lpstr>Na_orevalue</vt:lpstr>
      <vt:lpstr>naturalgasvalue</vt:lpstr>
      <vt:lpstr>Nb_orevalue</vt:lpstr>
      <vt:lpstr>Nd_orevalue</vt:lpstr>
      <vt:lpstr>Ne_value</vt:lpstr>
      <vt:lpstr>Ni_orevalue</vt:lpstr>
      <vt:lpstr>NMVOCvalue</vt:lpstr>
      <vt:lpstr>NOx_crop_oxidantcharfact</vt:lpstr>
      <vt:lpstr>NOx_wood_oxidantcharfact</vt:lpstr>
      <vt:lpstr>NOx_YOLL_Oxidant_charfact</vt:lpstr>
      <vt:lpstr>NOxvalue</vt:lpstr>
      <vt:lpstr>O_value</vt:lpstr>
      <vt:lpstr>oilvalue</vt:lpstr>
      <vt:lpstr>Os_orevalue</vt:lpstr>
      <vt:lpstr>osteoporosisvalue</vt:lpstr>
      <vt:lpstr>P_orevalue</vt:lpstr>
      <vt:lpstr>Pb_orevalue</vt:lpstr>
      <vt:lpstr>Pd_orevalue</vt:lpstr>
      <vt:lpstr>persontransportvalue</vt:lpstr>
      <vt:lpstr>PM2.5_asthmacases_charfact</vt:lpstr>
      <vt:lpstr>PM2.5_COPD_charfact</vt:lpstr>
      <vt:lpstr>PM2.5_malnutrition_charfact</vt:lpstr>
      <vt:lpstr>PM2.5_workingcapacity_charfact</vt:lpstr>
      <vt:lpstr>PM2.5_YOLL_charfact</vt:lpstr>
      <vt:lpstr>poisoningvalue</vt:lpstr>
      <vt:lpstr>Pr_orevalue</vt:lpstr>
      <vt:lpstr>Pt_orevalue</vt:lpstr>
      <vt:lpstr>qualitytimevalue</vt:lpstr>
      <vt:lpstr>Rb_orevalue</vt:lpstr>
      <vt:lpstr>Re_orevalue</vt:lpstr>
      <vt:lpstr>renaldysfunctionvalue</vt:lpstr>
      <vt:lpstr>Rh_orevalue</vt:lpstr>
      <vt:lpstr>Ru_orevalue</vt:lpstr>
      <vt:lpstr>S_orevalue</vt:lpstr>
      <vt:lpstr>Sb_orevalue</vt:lpstr>
      <vt:lpstr>Sc_orevalue</vt:lpstr>
      <vt:lpstr>Se_orevalue</vt:lpstr>
      <vt:lpstr>skincancervalue</vt:lpstr>
      <vt:lpstr>Sm_orevalue</vt:lpstr>
      <vt:lpstr>Sn_orevalue</vt:lpstr>
      <vt:lpstr>SO2value</vt:lpstr>
      <vt:lpstr>speciesvalue</vt:lpstr>
      <vt:lpstr>Sr_orevalue</vt:lpstr>
      <vt:lpstr>Ta_orevalue</vt:lpstr>
      <vt:lpstr>Tb_orevalue</vt:lpstr>
      <vt:lpstr>Te_orevalue</vt:lpstr>
      <vt:lpstr>Th_orevalue</vt:lpstr>
      <vt:lpstr>Ti_orevalue</vt:lpstr>
      <vt:lpstr>Tl_orevalue</vt:lpstr>
      <vt:lpstr>Tm_orevalue</vt:lpstr>
      <vt:lpstr>U_orevalue</vt:lpstr>
      <vt:lpstr>V_orevalue</vt:lpstr>
      <vt:lpstr>W_orevalue</vt:lpstr>
      <vt:lpstr>waterdeliveryvalue</vt:lpstr>
      <vt:lpstr>woodvalue</vt:lpstr>
      <vt:lpstr>working_capacity</vt:lpstr>
      <vt:lpstr>Y_orevalue</vt:lpstr>
      <vt:lpstr>Yb_orevalue</vt:lpstr>
      <vt:lpstr>YOLLvalue</vt:lpstr>
      <vt:lpstr>Zn_orevalue</vt:lpstr>
      <vt:lpstr>Zr_orevalue</vt:lpstr>
    </vt:vector>
  </TitlesOfParts>
  <Company>Technical Environmental Planning CTH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Bengt Steen</dc:creator>
  <cp:lastModifiedBy>Elisabet Hallberg</cp:lastModifiedBy>
  <cp:lastPrinted>2015-09-16T09:24:52Z</cp:lastPrinted>
  <dcterms:created xsi:type="dcterms:W3CDTF">1999-10-09T07:33:45Z</dcterms:created>
  <dcterms:modified xsi:type="dcterms:W3CDTF">2016-04-26T10:29:41Z</dcterms:modified>
</cp:coreProperties>
</file>